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enario Comparison" sheetId="1" state="visible" r:id="rId3"/>
    <sheet name="Full Service Example Summary" sheetId="2" state="visible" r:id="rId4"/>
    <sheet name="Full Service Example Assump" sheetId="3" state="visible" r:id="rId5"/>
    <sheet name="Full Service Example CF" sheetId="4" state="visible" r:id="rId6"/>
    <sheet name="Industrial Gross Ex Summary" sheetId="5" state="visible" r:id="rId7"/>
    <sheet name="Industrial Gross Ex Assump" sheetId="6" state="visible" r:id="rId8"/>
    <sheet name="Industrial Gross Ex CF" sheetId="7" state="visible" r:id="rId9"/>
  </sheets>
  <definedNames>
    <definedName function="false" hidden="false" localSheetId="3" name="_xlnm.Print_Titles" vbProcedure="false">'Full Service Example CF'!$B:$C</definedName>
    <definedName function="false" hidden="false" localSheetId="6" name="_xlnm.Print_Titles" vbProcedure="false">'Industrial Gross Ex CF'!$B:$C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<sst xmlns="http://schemas.openxmlformats.org/spreadsheetml/2006/main" count="207" uniqueCount="102">
  <si>
    <t xml:space="preserve">[Tenant]  -  Scenario Comparison</t>
  </si>
  <si>
    <t xml:space="preserve">Full Service Example  vs  Industrial Gross Ex</t>
  </si>
  <si>
    <t xml:space="preserve">Full Service Example</t>
  </si>
  <si>
    <t xml:space="preserve">Industrial Gross Ex</t>
  </si>
  <si>
    <t xml:space="preserve">(Full Service Example Summary)</t>
  </si>
  <si>
    <t xml:space="preserve">(Industrial Gross Ex Summary)</t>
  </si>
  <si>
    <t xml:space="preserve">DEAL TERMS</t>
  </si>
  <si>
    <t xml:space="preserve">Starting Base Rent ($/SF)</t>
  </si>
  <si>
    <t xml:space="preserve">Annual Escalation</t>
  </si>
  <si>
    <t xml:space="preserve">Lease Term (Months)</t>
  </si>
  <si>
    <t xml:space="preserve">Free Rent (Months)</t>
  </si>
  <si>
    <t xml:space="preserve">Lease Type</t>
  </si>
  <si>
    <t xml:space="preserve">Lease Start Date</t>
  </si>
  <si>
    <t xml:space="preserve">Leased SF</t>
  </si>
  <si>
    <t xml:space="preserve">TI Toward Rent ($/SF)</t>
  </si>
  <si>
    <t xml:space="preserve">Industrial Gross ($/SF/Yr) (Estimate)</t>
  </si>
  <si>
    <t xml:space="preserve">IG Annual Increase (Estimate)</t>
  </si>
  <si>
    <t xml:space="preserve">TOTAL LEASE ECONOMICS</t>
  </si>
  <si>
    <t xml:space="preserve">Total Base Rent (Gross)</t>
  </si>
  <si>
    <t xml:space="preserve">Total Abatements</t>
  </si>
  <si>
    <t xml:space="preserve">Total TI Toward Rent</t>
  </si>
  <si>
    <t xml:space="preserve">Total SF Rent Tax</t>
  </si>
  <si>
    <t xml:space="preserve">Total OpEx (Estimate)</t>
  </si>
  <si>
    <t xml:space="preserve">Total Industrial Gross (Estimate)</t>
  </si>
  <si>
    <t xml:space="preserve">TOTAL NET COST</t>
  </si>
  <si>
    <t xml:space="preserve">NORMALIZED METRICS (APPLES-TO-APPLES)</t>
  </si>
  <si>
    <t xml:space="preserve">Effective Cost / SF / Year</t>
  </si>
  <si>
    <t xml:space="preserve">Avg Annual Cost</t>
  </si>
  <si>
    <t xml:space="preserve">Avg Cost per Month</t>
  </si>
  <si>
    <t xml:space="preserve">MEMO - INFORMATIONAL, EXCLUDED FROM TOTAL NET COST</t>
  </si>
  <si>
    <t xml:space="preserve">TI Allowance (Landlord)</t>
  </si>
  <si>
    <t xml:space="preserve">ANNUAL NET COST BY LEASE YEAR</t>
  </si>
  <si>
    <t xml:space="preserve">Year 1</t>
  </si>
  <si>
    <t xml:space="preserve">Year 2</t>
  </si>
  <si>
    <t xml:space="preserve">Year 3</t>
  </si>
  <si>
    <t xml:space="preserve">Year 4</t>
  </si>
  <si>
    <t xml:space="preserve">Year 5</t>
  </si>
  <si>
    <t xml:space="preserve">Total</t>
  </si>
  <si>
    <t xml:space="preserve">Full Service Example  -  Lease Financial Summary</t>
  </si>
  <si>
    <t xml:space="preserve">[Tenant]  |  [Building / Suite]  |  10,000 SF  |  Full Service</t>
  </si>
  <si>
    <t xml:space="preserve">CORE LEASE ECONOMICS</t>
  </si>
  <si>
    <t xml:space="preserve">NET COST BY LEASE YEAR</t>
  </si>
  <si>
    <t xml:space="preserve">Lease Year</t>
  </si>
  <si>
    <t xml:space="preserve">Net Cost</t>
  </si>
  <si>
    <t xml:space="preserve">Start Date</t>
  </si>
  <si>
    <t xml:space="preserve">Total Base Rent (gross)</t>
  </si>
  <si>
    <t xml:space="preserve">Total TI Construction</t>
  </si>
  <si>
    <t xml:space="preserve">Total Cost</t>
  </si>
  <si>
    <t xml:space="preserve">NORMALIZED METRICS</t>
  </si>
  <si>
    <t xml:space="preserve">Cost/SF/Year</t>
  </si>
  <si>
    <t xml:space="preserve">MEMO - INFORMATIONAL, EXCLUDED FROM TOTAL COST</t>
  </si>
  <si>
    <t xml:space="preserve">Full Service Example  -  Assumptions</t>
  </si>
  <si>
    <t xml:space="preserve">[Building / Suite]</t>
  </si>
  <si>
    <t xml:space="preserve">DEAL</t>
  </si>
  <si>
    <t xml:space="preserve">Tenant Name</t>
  </si>
  <si>
    <t xml:space="preserve">[Tenant]</t>
  </si>
  <si>
    <t xml:space="preserve">Analysis Start</t>
  </si>
  <si>
    <t xml:space="preserve">Full Service</t>
  </si>
  <si>
    <t xml:space="preserve">RENT</t>
  </si>
  <si>
    <t xml:space="preserve">Starting Base Rent ($/SF/Yr)</t>
  </si>
  <si>
    <t xml:space="preserve">Annual Rent Escalation</t>
  </si>
  <si>
    <t xml:space="preserve">SF Rent Tax</t>
  </si>
  <si>
    <t xml:space="preserve">Abatement Structure</t>
  </si>
  <si>
    <t xml:space="preserve">Months 1-3 (consecutive)</t>
  </si>
  <si>
    <t xml:space="preserve">OPERATING EXPENSES</t>
  </si>
  <si>
    <t xml:space="preserve">OpEx Base Year ($/SF) (Estimate)</t>
  </si>
  <si>
    <t xml:space="preserve">OpEx Annual Increase (Estimate)</t>
  </si>
  <si>
    <t xml:space="preserve">OpEx Start Date</t>
  </si>
  <si>
    <t xml:space="preserve">OpEx Base Year</t>
  </si>
  <si>
    <t xml:space="preserve">TENANT IMPROVEMENTS</t>
  </si>
  <si>
    <t xml:space="preserve">TI Allowance ($/SF)</t>
  </si>
  <si>
    <t xml:space="preserve">INFORMATIONAL ONLY - excluded from cash flow and all totals</t>
  </si>
  <si>
    <t xml:space="preserve">Real credit - applied against rent in month 1</t>
  </si>
  <si>
    <t xml:space="preserve">TI Construction (Tenant Cost)</t>
  </si>
  <si>
    <t xml:space="preserve">Furniture (Tenant Cost)</t>
  </si>
  <si>
    <t xml:space="preserve">RENT SCHEDULE ($/SF/YEAR)</t>
  </si>
  <si>
    <t xml:space="preserve">$/SF/Year</t>
  </si>
  <si>
    <t xml:space="preserve">Full Service Example  -  Monthly Cash Flow</t>
  </si>
  <si>
    <t xml:space="preserve">[Tenant]  |  [Building / Suite]  |  10,000 SF  |  Full Service  |  60 months</t>
  </si>
  <si>
    <t xml:space="preserve">TOTAL</t>
  </si>
  <si>
    <t xml:space="preserve">Month</t>
  </si>
  <si>
    <t xml:space="preserve">Month-Ending</t>
  </si>
  <si>
    <t xml:space="preserve">Base Rent</t>
  </si>
  <si>
    <t xml:space="preserve">Base Rent Abatements</t>
  </si>
  <si>
    <t xml:space="preserve">TI Toward Rent (Credit)</t>
  </si>
  <si>
    <t xml:space="preserve">Gross Rent</t>
  </si>
  <si>
    <t xml:space="preserve">OPERATING COSTS &amp; OTHER</t>
  </si>
  <si>
    <t xml:space="preserve">Operating Expenses (Estimate)</t>
  </si>
  <si>
    <t xml:space="preserve">TI Construction</t>
  </si>
  <si>
    <t xml:space="preserve">MEMO - INFORMATIONAL, EXCLUDED FROM NET COST</t>
  </si>
  <si>
    <t xml:space="preserve">Industrial Gross Ex  -  Lease Financial Summary</t>
  </si>
  <si>
    <t xml:space="preserve">[Tenant]  |  [Industrial Building]  |  25,000 SF  |  Industrial Gross</t>
  </si>
  <si>
    <t xml:space="preserve">Industrial Gross Ex  -  Assumptions</t>
  </si>
  <si>
    <t xml:space="preserve">[Industrial Building]</t>
  </si>
  <si>
    <t xml:space="preserve">Industrial Gross</t>
  </si>
  <si>
    <t xml:space="preserve">Months 1-2 (consecutive)</t>
  </si>
  <si>
    <t xml:space="preserve">OPERATING EXPENSES &amp; INDUSTRIAL GROSS</t>
  </si>
  <si>
    <t xml:space="preserve">Separate line item - not in base rent, not in OpEx</t>
  </si>
  <si>
    <t xml:space="preserve">Industrial Gross Ex  -  Monthly Cash Flow</t>
  </si>
  <si>
    <t xml:space="preserve">[Tenant]  |  [Industrial Building]  |  25,000 SF  |  Industrial Gross  |  39 months</t>
  </si>
  <si>
    <t xml:space="preserve">OPERATING COSTS, IG &amp; OTHER</t>
  </si>
  <si>
    <t xml:space="preserve">Industrial Gross (Estimate)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</si>
</sst>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\$#,##0.00;&quot;($&quot;#,##0.00\);\-"/>
    <numFmt numFmtId="166" formatCode="0.0%"/>
    <numFmt numFmtId="167" formatCode="0"/>
    <numFmt numFmtId="168" formatCode="m/d/yyyy"/>
    <numFmt numFmtId="169" formatCode="#,##0"/>
    <numFmt numFmtId="170" formatCode="\$#,##0;&quot;($&quot;#,##0\);\-"/>
    <numFmt numFmtId="171" formatCode="mmm\-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Calibri"/>
      <family val="0"/>
      <charset val="1"/>
    </font>
    <font>
      <sz val="10"/>
      <color rgb="FFD6DAE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i val="true"/>
      <sz val="8"/>
      <color rgb="FFF5D5C4"/>
      <name val="Calibri"/>
      <family val="0"/>
      <charset val="1"/>
    </font>
    <font>
      <b val="true"/>
      <sz val="10"/>
      <color rgb="FF1F2937"/>
      <name val="Calibri"/>
      <family val="0"/>
      <charset val="1"/>
    </font>
    <font>
      <sz val="11"/>
      <color rgb="FF000000"/>
      <name val="Calibri"/>
      <family val="0"/>
      <charset val="1"/>
    </font>
    <font>
      <sz val="11"/>
      <color rgb="FF008000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b val="true"/>
      <sz val="11"/>
      <color rgb="FF008000"/>
      <name val="Calibri"/>
      <family val="0"/>
      <charset val="1"/>
    </font>
    <font>
      <sz val="11"/>
      <color rgb="FF0000FF"/>
      <name val="Calibri"/>
      <family val="0"/>
      <charset val="1"/>
    </font>
    <font>
      <i val="true"/>
      <sz val="9"/>
      <color rgb="FF7B8794"/>
      <name val="Calibri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2937"/>
        <bgColor rgb="FF333300"/>
      </patternFill>
    </fill>
    <fill>
      <patternFill patternType="solid">
        <fgColor rgb="FFD05820"/>
        <bgColor rgb="FF993300"/>
      </patternFill>
    </fill>
    <fill>
      <patternFill patternType="solid">
        <fgColor rgb="FFEEF0F2"/>
        <bgColor rgb="FFFFF4E5"/>
      </patternFill>
    </fill>
    <fill>
      <patternFill patternType="solid">
        <fgColor rgb="FFDDE1E5"/>
        <bgColor rgb="FFD6DAE0"/>
      </patternFill>
    </fill>
    <fill>
      <patternFill patternType="solid">
        <fgColor rgb="FFFFF4E5"/>
        <bgColor rgb="FFEEF0F2"/>
      </patternFill>
    </fill>
    <fill>
      <patternFill patternType="solid">
        <fgColor rgb="FFFFFFFF"/>
        <bgColor rgb="FFFFF4E5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D05820"/>
      </bottom>
      <diagonal/>
    </border>
    <border diagonalUp="false" diagonalDown="false">
      <left/>
      <right/>
      <top style="thin">
        <color rgb="FFC9CED4"/>
      </top>
      <bottom style="thin">
        <color rgb="FFC9CED4"/>
      </bottom>
      <diagonal/>
    </border>
    <border diagonalUp="false" diagonalDown="false">
      <left/>
      <right/>
      <top/>
      <bottom style="thin">
        <color rgb="FFC9CED4"/>
      </bottom>
      <diagonal/>
    </border>
    <border diagonalUp="false" diagonalDown="false">
      <left/>
      <right/>
      <top style="medium">
        <color rgb="FF1F2937"/>
      </top>
      <bottom style="medium">
        <color rgb="FF1F2937"/>
      </bottom>
      <diagonal/>
    </border>
    <border diagonalUp="false" diagonalDown="false">
      <left style="thin">
        <color rgb="FFC9CED4"/>
      </left>
      <right style="thin">
        <color rgb="FFC9CED4"/>
      </right>
      <top style="thin">
        <color rgb="FFC9CED4"/>
      </top>
      <bottom style="thin">
        <color rgb="FFC9CED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0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5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2" fillId="5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0" fillId="6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9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7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9" fontId="13" fillId="7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3" fillId="7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3" fillId="7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7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3" fillId="7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3" fillId="7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3" fillId="6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3" fillId="7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9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0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5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2" fillId="5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0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ED4"/>
      <rgbColor rgb="FF7B8794"/>
      <rgbColor rgb="FF9999FF"/>
      <rgbColor rgb="FF993366"/>
      <rgbColor rgb="FFFFF4E5"/>
      <rgbColor rgb="FFEEF0F2"/>
      <rgbColor rgb="FF660066"/>
      <rgbColor rgb="FFFF8080"/>
      <rgbColor rgb="FF0066CC"/>
      <rgbColor rgb="FFD6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1E5"/>
      <rgbColor rgb="FFFFFF99"/>
      <rgbColor rgb="FF99CCFF"/>
      <rgbColor rgb="FFFF99CC"/>
      <rgbColor rgb="FFCC99FF"/>
      <rgbColor rgb="FFF5D5C4"/>
      <rgbColor rgb="FF3366FF"/>
      <rgbColor rgb="FF33CCCC"/>
      <rgbColor rgb="FF99CC00"/>
      <rgbColor rgb="FFFFCC00"/>
      <rgbColor rgb="FFFF9900"/>
      <rgbColor rgb="FFD0582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D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40"/>
    <col collapsed="false" customWidth="true" hidden="false" outlineLevel="0" max="4" min="3" style="0" width="24"/>
  </cols>
  <sheetData>
    <row r="2" customFormat="false" ht="25.5" hidden="false" customHeight="true" outlineLevel="0" collapsed="false">
      <c r="B2" s="1" t="s">
        <v>0</v>
      </c>
      <c r="C2" s="1"/>
      <c r="D2" s="1"/>
    </row>
    <row r="3" customFormat="false" ht="15.75" hidden="false" customHeight="true" outlineLevel="0" collapsed="false">
      <c r="B3" s="2" t="s">
        <v>1</v>
      </c>
      <c r="C3" s="2"/>
      <c r="D3" s="2"/>
    </row>
    <row r="5" customFormat="false" ht="21.75" hidden="false" customHeight="true" outlineLevel="0" collapsed="false">
      <c r="B5" s="3"/>
      <c r="C5" s="4" t="s">
        <v>2</v>
      </c>
      <c r="D5" s="4" t="s">
        <v>3</v>
      </c>
    </row>
    <row r="6" customFormat="false" ht="15" hidden="false" customHeight="false" outlineLevel="0" collapsed="false">
      <c r="B6" s="3"/>
      <c r="C6" s="5" t="s">
        <v>4</v>
      </c>
      <c r="D6" s="5" t="s">
        <v>5</v>
      </c>
    </row>
    <row r="8" customFormat="false" ht="18" hidden="false" customHeight="true" outlineLevel="0" collapsed="false">
      <c r="B8" s="6" t="s">
        <v>6</v>
      </c>
      <c r="C8" s="7"/>
      <c r="D8" s="7"/>
    </row>
    <row r="9" customFormat="false" ht="15" hidden="false" customHeight="false" outlineLevel="0" collapsed="false">
      <c r="B9" s="8" t="s">
        <v>7</v>
      </c>
      <c r="C9" s="9" t="n">
        <f aca="false">'Full Service Example Summary'!E6</f>
        <v>100</v>
      </c>
      <c r="D9" s="9" t="n">
        <f aca="false">'Industrial Gross Ex Summary'!E6</f>
        <v>18</v>
      </c>
    </row>
    <row r="10" customFormat="false" ht="15" hidden="false" customHeight="false" outlineLevel="0" collapsed="false">
      <c r="B10" s="8" t="s">
        <v>8</v>
      </c>
      <c r="C10" s="10" t="n">
        <f aca="false">'Full Service Example Summary'!E7</f>
        <v>0.03</v>
      </c>
      <c r="D10" s="10" t="n">
        <f aca="false">'Industrial Gross Ex Summary'!E7</f>
        <v>0.035</v>
      </c>
    </row>
    <row r="11" customFormat="false" ht="15" hidden="false" customHeight="false" outlineLevel="0" collapsed="false">
      <c r="B11" s="8" t="s">
        <v>9</v>
      </c>
      <c r="C11" s="11" t="n">
        <f aca="false">'Full Service Example Summary'!E10</f>
        <v>60</v>
      </c>
      <c r="D11" s="11" t="n">
        <f aca="false">'Industrial Gross Ex Summary'!E10</f>
        <v>39</v>
      </c>
    </row>
    <row r="12" customFormat="false" ht="15" hidden="false" customHeight="false" outlineLevel="0" collapsed="false">
      <c r="B12" s="8" t="s">
        <v>10</v>
      </c>
      <c r="C12" s="11" t="n">
        <f aca="false">'Full Service Example Summary'!E11</f>
        <v>3</v>
      </c>
      <c r="D12" s="11" t="n">
        <f aca="false">'Industrial Gross Ex Summary'!E11</f>
        <v>2</v>
      </c>
    </row>
    <row r="13" customFormat="false" ht="15" hidden="false" customHeight="false" outlineLevel="0" collapsed="false">
      <c r="B13" s="8" t="s">
        <v>11</v>
      </c>
      <c r="C13" s="12" t="str">
        <f aca="false">'Full Service Example Summary'!E12</f>
        <v>Full Service</v>
      </c>
      <c r="D13" s="12" t="str">
        <f aca="false">'Industrial Gross Ex Summary'!E12</f>
        <v>Industrial Gross</v>
      </c>
    </row>
    <row r="14" customFormat="false" ht="15" hidden="false" customHeight="false" outlineLevel="0" collapsed="false">
      <c r="B14" s="8" t="s">
        <v>12</v>
      </c>
      <c r="C14" s="13" t="n">
        <f aca="false">'Full Service Example Summary'!E8</f>
        <v>46023</v>
      </c>
      <c r="D14" s="13" t="n">
        <f aca="false">'Industrial Gross Ex Summary'!E8</f>
        <v>46023</v>
      </c>
    </row>
    <row r="15" customFormat="false" ht="15" hidden="false" customHeight="false" outlineLevel="0" collapsed="false">
      <c r="B15" s="8" t="s">
        <v>13</v>
      </c>
      <c r="C15" s="14" t="n">
        <f aca="false">'Full Service Example Summary'!E9</f>
        <v>10000</v>
      </c>
      <c r="D15" s="14" t="n">
        <f aca="false">'Industrial Gross Ex Summary'!E9</f>
        <v>25000</v>
      </c>
    </row>
    <row r="16" customFormat="false" ht="15" hidden="false" customHeight="false" outlineLevel="0" collapsed="false">
      <c r="B16" s="8" t="s">
        <v>14</v>
      </c>
      <c r="C16" s="9" t="n">
        <f aca="false">'Full Service Example Summary'!E13</f>
        <v>10</v>
      </c>
      <c r="D16" s="9" t="n">
        <f aca="false">'Industrial Gross Ex Summary'!E15</f>
        <v>0</v>
      </c>
    </row>
    <row r="17" customFormat="false" ht="15" hidden="false" customHeight="false" outlineLevel="0" collapsed="false">
      <c r="B17" s="8" t="s">
        <v>15</v>
      </c>
      <c r="C17" s="15"/>
      <c r="D17" s="9" t="n">
        <f aca="false">'Industrial Gross Ex Summary'!E13</f>
        <v>5</v>
      </c>
    </row>
    <row r="18" customFormat="false" ht="15" hidden="false" customHeight="false" outlineLevel="0" collapsed="false">
      <c r="B18" s="8" t="s">
        <v>16</v>
      </c>
      <c r="C18" s="15"/>
      <c r="D18" s="10" t="n">
        <f aca="false">'Industrial Gross Ex Summary'!E14</f>
        <v>0.03</v>
      </c>
    </row>
    <row r="19" customFormat="false" ht="18" hidden="false" customHeight="true" outlineLevel="0" collapsed="false">
      <c r="B19" s="6" t="s">
        <v>17</v>
      </c>
      <c r="C19" s="7"/>
      <c r="D19" s="7"/>
    </row>
    <row r="20" customFormat="false" ht="15" hidden="false" customHeight="false" outlineLevel="0" collapsed="false">
      <c r="B20" s="8" t="s">
        <v>18</v>
      </c>
      <c r="C20" s="16" t="n">
        <f aca="false">'Full Service Example Summary'!E16</f>
        <v>5309135.81</v>
      </c>
      <c r="D20" s="16" t="n">
        <f aca="false">'Industrial Gross Ex Summary'!E18</f>
        <v>1522532.0109375</v>
      </c>
    </row>
    <row r="21" customFormat="false" ht="15" hidden="false" customHeight="false" outlineLevel="0" collapsed="false">
      <c r="B21" s="8" t="s">
        <v>19</v>
      </c>
      <c r="C21" s="16" t="n">
        <f aca="false">'Full Service Example Summary'!E17</f>
        <v>-250000</v>
      </c>
      <c r="D21" s="16" t="n">
        <f aca="false">'Industrial Gross Ex Summary'!E19</f>
        <v>-75000</v>
      </c>
    </row>
    <row r="22" customFormat="false" ht="15" hidden="false" customHeight="false" outlineLevel="0" collapsed="false">
      <c r="B22" s="8" t="s">
        <v>20</v>
      </c>
      <c r="C22" s="16" t="n">
        <f aca="false">'Full Service Example Summary'!E18</f>
        <v>-100000</v>
      </c>
      <c r="D22" s="16" t="n">
        <f aca="false">'Industrial Gross Ex Summary'!E20</f>
        <v>0</v>
      </c>
    </row>
    <row r="23" customFormat="false" ht="15" hidden="false" customHeight="false" outlineLevel="0" collapsed="false">
      <c r="B23" s="8" t="s">
        <v>21</v>
      </c>
      <c r="C23" s="16" t="n">
        <f aca="false">'Full Service Example Summary'!E19</f>
        <v>177069.75335</v>
      </c>
      <c r="D23" s="16" t="n">
        <f aca="false">'Industrial Gross Ex Summary'!E21</f>
        <v>50663.6203828125</v>
      </c>
    </row>
    <row r="24" customFormat="false" ht="15" hidden="false" customHeight="false" outlineLevel="0" collapsed="false">
      <c r="B24" s="8" t="s">
        <v>22</v>
      </c>
      <c r="C24" s="16" t="n">
        <f aca="false">'Full Service Example Summary'!E20</f>
        <v>104080.64</v>
      </c>
      <c r="D24" s="16" t="n">
        <f aca="false">'Industrial Gross Ex Summary'!E22</f>
        <v>95510.0000000001</v>
      </c>
    </row>
    <row r="25" customFormat="false" ht="15" hidden="false" customHeight="false" outlineLevel="0" collapsed="false">
      <c r="B25" s="8" t="s">
        <v>23</v>
      </c>
      <c r="C25" s="15"/>
      <c r="D25" s="16" t="n">
        <f aca="false">'Industrial Gross Ex Summary'!E23</f>
        <v>420510.21875</v>
      </c>
    </row>
    <row r="26" customFormat="false" ht="15" hidden="false" customHeight="false" outlineLevel="0" collapsed="false">
      <c r="B26" s="17" t="s">
        <v>24</v>
      </c>
      <c r="C26" s="18" t="n">
        <f aca="false">'Full Service Example Summary'!E22</f>
        <v>5240286.20335</v>
      </c>
      <c r="D26" s="18" t="n">
        <f aca="false">'Industrial Gross Ex Summary'!E25</f>
        <v>2014215.85007031</v>
      </c>
    </row>
    <row r="27" customFormat="false" ht="18" hidden="false" customHeight="true" outlineLevel="0" collapsed="false">
      <c r="B27" s="6" t="s">
        <v>25</v>
      </c>
      <c r="C27" s="7"/>
      <c r="D27" s="7"/>
    </row>
    <row r="28" customFormat="false" ht="15" hidden="false" customHeight="false" outlineLevel="0" collapsed="false">
      <c r="B28" s="8" t="s">
        <v>26</v>
      </c>
      <c r="C28" s="9" t="n">
        <f aca="false">'Full Service Example Summary'!E25</f>
        <v>104.805724067</v>
      </c>
      <c r="D28" s="9" t="n">
        <f aca="false">'Industrial Gross Ex Summary'!E28</f>
        <v>24.7903489239423</v>
      </c>
    </row>
    <row r="29" customFormat="false" ht="15" hidden="false" customHeight="false" outlineLevel="0" collapsed="false">
      <c r="B29" s="8" t="s">
        <v>27</v>
      </c>
      <c r="C29" s="16" t="n">
        <f aca="false">'Full Service Example Summary'!E26</f>
        <v>1048057.24067</v>
      </c>
      <c r="D29" s="16" t="n">
        <f aca="false">'Industrial Gross Ex Summary'!E29</f>
        <v>619758.723098558</v>
      </c>
    </row>
    <row r="30" customFormat="false" ht="15" hidden="false" customHeight="false" outlineLevel="0" collapsed="false">
      <c r="B30" s="8" t="s">
        <v>28</v>
      </c>
      <c r="C30" s="16" t="n">
        <f aca="false">'Full Service Example Summary'!E27</f>
        <v>87338.1033891667</v>
      </c>
      <c r="D30" s="16" t="n">
        <f aca="false">'Industrial Gross Ex Summary'!E30</f>
        <v>51646.5602582131</v>
      </c>
    </row>
    <row r="31" customFormat="false" ht="18" hidden="false" customHeight="true" outlineLevel="0" collapsed="false">
      <c r="B31" s="6" t="s">
        <v>29</v>
      </c>
      <c r="C31" s="7"/>
      <c r="D31" s="7"/>
    </row>
    <row r="32" customFormat="false" ht="15" hidden="false" customHeight="false" outlineLevel="0" collapsed="false">
      <c r="B32" s="8" t="s">
        <v>30</v>
      </c>
      <c r="C32" s="19" t="n">
        <f aca="false">'Full Service Example Summary'!E30</f>
        <v>500000</v>
      </c>
      <c r="D32" s="19" t="n">
        <f aca="false">'Industrial Gross Ex Summary'!E33</f>
        <v>375000</v>
      </c>
    </row>
    <row r="34" customFormat="false" ht="18" hidden="false" customHeight="true" outlineLevel="0" collapsed="false">
      <c r="B34" s="6" t="s">
        <v>31</v>
      </c>
      <c r="C34" s="7"/>
      <c r="D34" s="7"/>
    </row>
    <row r="35" customFormat="false" ht="15" hidden="false" customHeight="false" outlineLevel="0" collapsed="false">
      <c r="B35" s="8" t="s">
        <v>32</v>
      </c>
      <c r="C35" s="16" t="n">
        <f aca="false">'Full Service Example Summary'!I7</f>
        <v>676250</v>
      </c>
      <c r="D35" s="16" t="n">
        <f aca="false">'Industrial Gross Ex Summary'!I7</f>
        <v>513125</v>
      </c>
    </row>
    <row r="36" customFormat="false" ht="15" hidden="false" customHeight="false" outlineLevel="0" collapsed="false">
      <c r="B36" s="8" t="s">
        <v>33</v>
      </c>
      <c r="C36" s="16" t="n">
        <f aca="false">'Full Service Example Summary'!I8</f>
        <v>1076050</v>
      </c>
      <c r="D36" s="16" t="n">
        <f aca="false">'Industrial Gross Ex Summary'!I8</f>
        <v>635801.25</v>
      </c>
    </row>
    <row r="37" customFormat="false" ht="15" hidden="false" customHeight="false" outlineLevel="0" collapsed="false">
      <c r="B37" s="8" t="s">
        <v>34</v>
      </c>
      <c r="C37" s="16" t="n">
        <f aca="false">'Full Service Example Summary'!I9</f>
        <v>1118431.5</v>
      </c>
      <c r="D37" s="16" t="n">
        <f aca="false">'Industrial Gross Ex Summary'!I9</f>
        <v>682535.54375</v>
      </c>
    </row>
    <row r="38" customFormat="false" ht="15" hidden="false" customHeight="false" outlineLevel="0" collapsed="false">
      <c r="B38" s="8" t="s">
        <v>35</v>
      </c>
      <c r="C38" s="16" t="n">
        <f aca="false">'Full Service Example Summary'!I10</f>
        <v>1162188.445</v>
      </c>
      <c r="D38" s="16" t="n">
        <f aca="false">'Industrial Gross Ex Summary'!I10</f>
        <v>182754.056320313</v>
      </c>
    </row>
    <row r="39" customFormat="false" ht="15" hidden="false" customHeight="false" outlineLevel="0" collapsed="false">
      <c r="B39" s="8" t="s">
        <v>36</v>
      </c>
      <c r="C39" s="16" t="n">
        <f aca="false">'Full Service Example Summary'!I11</f>
        <v>1207366.25835</v>
      </c>
      <c r="D39" s="15"/>
    </row>
    <row r="40" customFormat="false" ht="15" hidden="false" customHeight="false" outlineLevel="0" collapsed="false">
      <c r="B40" s="17" t="s">
        <v>37</v>
      </c>
      <c r="C40" s="18" t="n">
        <f aca="false">SUM(C35:C39)</f>
        <v>5240286.20335</v>
      </c>
      <c r="D40" s="18" t="n">
        <f aca="false">SUM(D35:D39)</f>
        <v>2014215.85007031</v>
      </c>
    </row>
  </sheetData>
  <mergeCells count="2">
    <mergeCell ref="B2:D2"/>
    <mergeCell ref="B3:D3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34"/>
    <col collapsed="false" customWidth="true" hidden="false" outlineLevel="0" max="4" min="3" style="0" width="2"/>
    <col collapsed="false" customWidth="true" hidden="false" outlineLevel="0" max="5" min="5" style="0" width="18"/>
    <col collapsed="false" customWidth="true" hidden="false" outlineLevel="0" max="6" min="6" style="0" width="2"/>
    <col collapsed="false" customWidth="true" hidden="false" outlineLevel="0" max="7" min="7" style="0" width="3"/>
    <col collapsed="false" customWidth="true" hidden="false" outlineLevel="0" max="8" min="8" style="0" width="12"/>
    <col collapsed="false" customWidth="true" hidden="false" outlineLevel="0" max="9" min="9" style="0" width="18"/>
  </cols>
  <sheetData>
    <row r="2" customFormat="false" ht="25.5" hidden="false" customHeight="true" outlineLevel="0" collapsed="false">
      <c r="B2" s="1" t="s">
        <v>38</v>
      </c>
      <c r="C2" s="1"/>
      <c r="D2" s="1"/>
      <c r="E2" s="1"/>
      <c r="F2" s="1"/>
    </row>
    <row r="3" customFormat="false" ht="15.75" hidden="false" customHeight="true" outlineLevel="0" collapsed="false">
      <c r="B3" s="2" t="s">
        <v>39</v>
      </c>
      <c r="C3" s="2"/>
      <c r="D3" s="2"/>
      <c r="E3" s="2"/>
      <c r="F3" s="2"/>
    </row>
    <row r="5" customFormat="false" ht="18" hidden="false" customHeight="true" outlineLevel="0" collapsed="false">
      <c r="B5" s="6" t="s">
        <v>40</v>
      </c>
      <c r="C5" s="7"/>
      <c r="D5" s="7"/>
      <c r="E5" s="7"/>
      <c r="F5" s="7"/>
      <c r="H5" s="6" t="s">
        <v>41</v>
      </c>
      <c r="I5" s="7"/>
    </row>
    <row r="6" customFormat="false" ht="15" hidden="false" customHeight="false" outlineLevel="0" collapsed="false">
      <c r="B6" s="8" t="s">
        <v>7</v>
      </c>
      <c r="C6" s="15"/>
      <c r="D6" s="15"/>
      <c r="E6" s="9" t="n">
        <f aca="false">'Full Service Example Assump'!$D$17</f>
        <v>100</v>
      </c>
      <c r="F6" s="15"/>
      <c r="H6" s="20" t="s">
        <v>42</v>
      </c>
      <c r="I6" s="21" t="s">
        <v>43</v>
      </c>
    </row>
    <row r="7" customFormat="false" ht="15" hidden="false" customHeight="false" outlineLevel="0" collapsed="false">
      <c r="B7" s="8" t="s">
        <v>8</v>
      </c>
      <c r="C7" s="15"/>
      <c r="D7" s="15"/>
      <c r="E7" s="10" t="n">
        <f aca="false">'Full Service Example Assump'!$D$18</f>
        <v>0.03</v>
      </c>
      <c r="F7" s="15"/>
      <c r="H7" s="22" t="n">
        <v>1</v>
      </c>
      <c r="I7" s="16" t="n">
        <f aca="false">SUM('Full Service Example CF'!D20:O20)</f>
        <v>676250</v>
      </c>
    </row>
    <row r="8" customFormat="false" ht="15" hidden="false" customHeight="false" outlineLevel="0" collapsed="false">
      <c r="B8" s="8" t="s">
        <v>44</v>
      </c>
      <c r="C8" s="15"/>
      <c r="D8" s="15"/>
      <c r="E8" s="13" t="n">
        <f aca="false">'Full Service Example Assump'!$D$10</f>
        <v>46023</v>
      </c>
      <c r="F8" s="15"/>
      <c r="H8" s="22" t="n">
        <v>2</v>
      </c>
      <c r="I8" s="16" t="n">
        <f aca="false">SUM('Full Service Example CF'!P20:AA20)</f>
        <v>1076050</v>
      </c>
    </row>
    <row r="9" customFormat="false" ht="15" hidden="false" customHeight="false" outlineLevel="0" collapsed="false">
      <c r="B9" s="8" t="s">
        <v>13</v>
      </c>
      <c r="C9" s="15"/>
      <c r="D9" s="15"/>
      <c r="E9" s="14" t="n">
        <f aca="false">'Full Service Example Assump'!$D$9</f>
        <v>10000</v>
      </c>
      <c r="F9" s="15"/>
      <c r="H9" s="22" t="n">
        <v>3</v>
      </c>
      <c r="I9" s="16" t="n">
        <f aca="false">SUM('Full Service Example CF'!AB20:AM20)</f>
        <v>1118431.5</v>
      </c>
    </row>
    <row r="10" customFormat="false" ht="15" hidden="false" customHeight="false" outlineLevel="0" collapsed="false">
      <c r="B10" s="8" t="s">
        <v>9</v>
      </c>
      <c r="C10" s="15"/>
      <c r="D10" s="15"/>
      <c r="E10" s="11" t="n">
        <f aca="false">'Full Service Example Assump'!$D$12</f>
        <v>60</v>
      </c>
      <c r="F10" s="15"/>
      <c r="H10" s="22" t="n">
        <v>4</v>
      </c>
      <c r="I10" s="16" t="n">
        <f aca="false">SUM('Full Service Example CF'!AN20:AY20)</f>
        <v>1162188.445</v>
      </c>
    </row>
    <row r="11" customFormat="false" ht="15" hidden="false" customHeight="false" outlineLevel="0" collapsed="false">
      <c r="B11" s="8" t="s">
        <v>10</v>
      </c>
      <c r="C11" s="15"/>
      <c r="D11" s="15"/>
      <c r="E11" s="11" t="n">
        <f aca="false">'Full Service Example Assump'!$D$13</f>
        <v>3</v>
      </c>
      <c r="F11" s="15"/>
      <c r="H11" s="22" t="n">
        <v>5</v>
      </c>
      <c r="I11" s="16" t="n">
        <f aca="false">SUM('Full Service Example CF'!AZ20:BK20)</f>
        <v>1207366.25835</v>
      </c>
    </row>
    <row r="12" customFormat="false" ht="15" hidden="false" customHeight="false" outlineLevel="0" collapsed="false">
      <c r="B12" s="8" t="s">
        <v>11</v>
      </c>
      <c r="C12" s="15"/>
      <c r="D12" s="15"/>
      <c r="E12" s="12" t="str">
        <f aca="false">'Full Service Example Assump'!$D$14</f>
        <v>Full Service</v>
      </c>
      <c r="F12" s="15"/>
      <c r="H12" s="17" t="s">
        <v>37</v>
      </c>
      <c r="I12" s="18" t="n">
        <f aca="false">'Full Service Example CF'!BL20</f>
        <v>5240286.20335</v>
      </c>
    </row>
    <row r="13" customFormat="false" ht="15" hidden="false" customHeight="false" outlineLevel="0" collapsed="false">
      <c r="B13" s="8" t="s">
        <v>14</v>
      </c>
      <c r="C13" s="15"/>
      <c r="D13" s="15"/>
      <c r="E13" s="9" t="n">
        <f aca="false">'Full Service Example Assump'!$D$30</f>
        <v>10</v>
      </c>
      <c r="F13" s="15"/>
    </row>
    <row r="15" customFormat="false" ht="18" hidden="false" customHeight="true" outlineLevel="0" collapsed="false">
      <c r="B15" s="6" t="s">
        <v>17</v>
      </c>
      <c r="C15" s="7"/>
      <c r="D15" s="7"/>
      <c r="E15" s="7"/>
      <c r="F15" s="7"/>
    </row>
    <row r="16" customFormat="false" ht="15" hidden="false" customHeight="false" outlineLevel="0" collapsed="false">
      <c r="B16" s="8" t="s">
        <v>45</v>
      </c>
      <c r="C16" s="15"/>
      <c r="D16" s="15"/>
      <c r="E16" s="16" t="n">
        <f aca="false">'Full Service Example CF'!BL10</f>
        <v>5309135.81</v>
      </c>
      <c r="F16" s="15"/>
    </row>
    <row r="17" customFormat="false" ht="15" hidden="false" customHeight="false" outlineLevel="0" collapsed="false">
      <c r="B17" s="8" t="s">
        <v>19</v>
      </c>
      <c r="C17" s="15"/>
      <c r="D17" s="15"/>
      <c r="E17" s="16" t="n">
        <f aca="false">'Full Service Example CF'!BL11</f>
        <v>-250000</v>
      </c>
      <c r="F17" s="15"/>
    </row>
    <row r="18" customFormat="false" ht="15" hidden="false" customHeight="false" outlineLevel="0" collapsed="false">
      <c r="B18" s="8" t="s">
        <v>20</v>
      </c>
      <c r="C18" s="15"/>
      <c r="D18" s="15"/>
      <c r="E18" s="16" t="n">
        <f aca="false">'Full Service Example CF'!BL12</f>
        <v>-100000</v>
      </c>
      <c r="F18" s="15"/>
    </row>
    <row r="19" customFormat="false" ht="15" hidden="false" customHeight="false" outlineLevel="0" collapsed="false">
      <c r="B19" s="8" t="s">
        <v>21</v>
      </c>
      <c r="C19" s="15"/>
      <c r="D19" s="15"/>
      <c r="E19" s="16" t="n">
        <f aca="false">'Full Service Example CF'!BL13</f>
        <v>177069.75335</v>
      </c>
      <c r="F19" s="15"/>
    </row>
    <row r="20" customFormat="false" ht="15" hidden="false" customHeight="false" outlineLevel="0" collapsed="false">
      <c r="B20" s="8" t="s">
        <v>22</v>
      </c>
      <c r="C20" s="15"/>
      <c r="D20" s="15"/>
      <c r="E20" s="16" t="n">
        <f aca="false">'Full Service Example CF'!BL16</f>
        <v>104080.64</v>
      </c>
      <c r="F20" s="15"/>
    </row>
    <row r="21" customFormat="false" ht="15" hidden="false" customHeight="false" outlineLevel="0" collapsed="false">
      <c r="B21" s="8" t="s">
        <v>46</v>
      </c>
      <c r="C21" s="15"/>
      <c r="D21" s="15"/>
      <c r="E21" s="16" t="n">
        <f aca="false">'Full Service Example CF'!BL17</f>
        <v>0</v>
      </c>
      <c r="F21" s="15"/>
    </row>
    <row r="22" customFormat="false" ht="15" hidden="false" customHeight="false" outlineLevel="0" collapsed="false">
      <c r="B22" s="17" t="s">
        <v>47</v>
      </c>
      <c r="C22" s="23"/>
      <c r="D22" s="23"/>
      <c r="E22" s="18" t="n">
        <f aca="false">'Full Service Example CF'!BL20</f>
        <v>5240286.20335</v>
      </c>
      <c r="F22" s="23"/>
    </row>
    <row r="24" customFormat="false" ht="18" hidden="false" customHeight="true" outlineLevel="0" collapsed="false">
      <c r="B24" s="6" t="s">
        <v>48</v>
      </c>
      <c r="C24" s="7"/>
      <c r="D24" s="7"/>
      <c r="E24" s="7"/>
      <c r="F24" s="7"/>
    </row>
    <row r="25" customFormat="false" ht="15" hidden="false" customHeight="false" outlineLevel="0" collapsed="false">
      <c r="B25" s="8" t="s">
        <v>49</v>
      </c>
      <c r="C25" s="15"/>
      <c r="D25" s="15"/>
      <c r="E25" s="9" t="n">
        <f aca="false">'Full Service Example CF'!BL20/'Full Service Example Assump'!$D$9/('Full Service Example Assump'!$D$12/12)</f>
        <v>104.805724067</v>
      </c>
      <c r="F25" s="15"/>
    </row>
    <row r="26" customFormat="false" ht="15" hidden="false" customHeight="false" outlineLevel="0" collapsed="false">
      <c r="B26" s="8" t="s">
        <v>27</v>
      </c>
      <c r="C26" s="15"/>
      <c r="D26" s="15"/>
      <c r="E26" s="16" t="n">
        <f aca="false">'Full Service Example CF'!BL20/('Full Service Example Assump'!$D$12/12)</f>
        <v>1048057.24067</v>
      </c>
      <c r="F26" s="15"/>
    </row>
    <row r="27" customFormat="false" ht="15" hidden="false" customHeight="false" outlineLevel="0" collapsed="false">
      <c r="B27" s="8" t="s">
        <v>28</v>
      </c>
      <c r="C27" s="15"/>
      <c r="D27" s="15"/>
      <c r="E27" s="16" t="n">
        <f aca="false">'Full Service Example CF'!BL20/'Full Service Example Assump'!$D$12</f>
        <v>87338.1033891667</v>
      </c>
      <c r="F27" s="15"/>
    </row>
    <row r="29" customFormat="false" ht="18" hidden="false" customHeight="true" outlineLevel="0" collapsed="false">
      <c r="B29" s="6" t="s">
        <v>50</v>
      </c>
      <c r="C29" s="7"/>
      <c r="D29" s="7"/>
      <c r="E29" s="7"/>
      <c r="F29" s="7"/>
    </row>
    <row r="30" customFormat="false" ht="15" hidden="false" customHeight="false" outlineLevel="0" collapsed="false">
      <c r="B30" s="8" t="s">
        <v>30</v>
      </c>
      <c r="C30" s="15"/>
      <c r="D30" s="15"/>
      <c r="E30" s="19" t="n">
        <f aca="false">'Full Service Example CF'!BL24</f>
        <v>500000</v>
      </c>
      <c r="F30" s="15"/>
    </row>
  </sheetData>
  <mergeCells count="2">
    <mergeCell ref="B2:F2"/>
    <mergeCell ref="B3:F3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34"/>
    <col collapsed="false" customWidth="true" hidden="false" outlineLevel="0" max="3" min="3" style="0" width="2"/>
    <col collapsed="false" customWidth="true" hidden="false" outlineLevel="0" max="4" min="4" style="0" width="16"/>
    <col collapsed="false" customWidth="true" hidden="false" outlineLevel="0" max="5" min="5" style="0" width="2"/>
    <col collapsed="false" customWidth="true" hidden="false" outlineLevel="0" max="6" min="6" style="0" width="54"/>
  </cols>
  <sheetData>
    <row r="2" customFormat="false" ht="25.5" hidden="false" customHeight="true" outlineLevel="0" collapsed="false">
      <c r="B2" s="1" t="s">
        <v>51</v>
      </c>
      <c r="C2" s="1"/>
      <c r="D2" s="1"/>
      <c r="E2" s="1"/>
      <c r="F2" s="1"/>
    </row>
    <row r="3" customFormat="false" ht="15.75" hidden="false" customHeight="true" outlineLevel="0" collapsed="false">
      <c r="B3" s="2" t="s">
        <v>52</v>
      </c>
      <c r="C3" s="2"/>
      <c r="D3" s="2"/>
      <c r="E3" s="2"/>
      <c r="F3" s="2"/>
    </row>
    <row r="7" customFormat="false" ht="18" hidden="false" customHeight="true" outlineLevel="0" collapsed="false">
      <c r="B7" s="6" t="s">
        <v>53</v>
      </c>
      <c r="C7" s="7"/>
      <c r="D7" s="7"/>
      <c r="E7" s="7"/>
      <c r="F7" s="7"/>
    </row>
    <row r="8" customFormat="false" ht="15" hidden="false" customHeight="false" outlineLevel="0" collapsed="false">
      <c r="B8" s="8" t="s">
        <v>54</v>
      </c>
      <c r="C8" s="15"/>
      <c r="D8" s="24" t="s">
        <v>55</v>
      </c>
    </row>
    <row r="9" customFormat="false" ht="15" hidden="false" customHeight="false" outlineLevel="0" collapsed="false">
      <c r="B9" s="8" t="s">
        <v>13</v>
      </c>
      <c r="C9" s="15"/>
      <c r="D9" s="25" t="n">
        <v>10000</v>
      </c>
    </row>
    <row r="10" customFormat="false" ht="15" hidden="false" customHeight="false" outlineLevel="0" collapsed="false">
      <c r="B10" s="8" t="s">
        <v>12</v>
      </c>
      <c r="C10" s="15"/>
      <c r="D10" s="26" t="n">
        <v>46023</v>
      </c>
    </row>
    <row r="11" customFormat="false" ht="15" hidden="false" customHeight="false" outlineLevel="0" collapsed="false">
      <c r="B11" s="8" t="s">
        <v>56</v>
      </c>
      <c r="C11" s="15"/>
      <c r="D11" s="26" t="n">
        <v>46023</v>
      </c>
    </row>
    <row r="12" customFormat="false" ht="15" hidden="false" customHeight="false" outlineLevel="0" collapsed="false">
      <c r="B12" s="8" t="s">
        <v>9</v>
      </c>
      <c r="C12" s="15"/>
      <c r="D12" s="27" t="n">
        <v>60</v>
      </c>
    </row>
    <row r="13" customFormat="false" ht="15" hidden="false" customHeight="false" outlineLevel="0" collapsed="false">
      <c r="B13" s="8" t="s">
        <v>10</v>
      </c>
      <c r="C13" s="15"/>
      <c r="D13" s="27" t="n">
        <v>3</v>
      </c>
    </row>
    <row r="14" customFormat="false" ht="15" hidden="false" customHeight="false" outlineLevel="0" collapsed="false">
      <c r="B14" s="8" t="s">
        <v>11</v>
      </c>
      <c r="C14" s="15"/>
      <c r="D14" s="28" t="s">
        <v>57</v>
      </c>
    </row>
    <row r="16" customFormat="false" ht="18" hidden="false" customHeight="true" outlineLevel="0" collapsed="false">
      <c r="B16" s="6" t="s">
        <v>58</v>
      </c>
      <c r="C16" s="7"/>
      <c r="D16" s="7"/>
      <c r="E16" s="7"/>
      <c r="F16" s="7"/>
    </row>
    <row r="17" customFormat="false" ht="15" hidden="false" customHeight="false" outlineLevel="0" collapsed="false">
      <c r="B17" s="8" t="s">
        <v>59</v>
      </c>
      <c r="C17" s="15"/>
      <c r="D17" s="29" t="n">
        <v>100</v>
      </c>
    </row>
    <row r="18" customFormat="false" ht="15" hidden="false" customHeight="false" outlineLevel="0" collapsed="false">
      <c r="B18" s="8" t="s">
        <v>60</v>
      </c>
      <c r="C18" s="15"/>
      <c r="D18" s="30" t="n">
        <v>0.03</v>
      </c>
    </row>
    <row r="19" customFormat="false" ht="15" hidden="false" customHeight="false" outlineLevel="0" collapsed="false">
      <c r="B19" s="8" t="s">
        <v>61</v>
      </c>
      <c r="C19" s="15"/>
      <c r="D19" s="30" t="n">
        <v>0.035</v>
      </c>
    </row>
    <row r="20" customFormat="false" ht="15" hidden="false" customHeight="false" outlineLevel="0" collapsed="false">
      <c r="B20" s="8" t="s">
        <v>62</v>
      </c>
      <c r="C20" s="15"/>
      <c r="D20" s="24" t="s">
        <v>63</v>
      </c>
    </row>
    <row r="22" customFormat="false" ht="18" hidden="false" customHeight="true" outlineLevel="0" collapsed="false">
      <c r="B22" s="6" t="s">
        <v>64</v>
      </c>
      <c r="C22" s="7"/>
      <c r="D22" s="7"/>
      <c r="E22" s="7"/>
      <c r="F22" s="7"/>
    </row>
    <row r="23" customFormat="false" ht="15" hidden="false" customHeight="false" outlineLevel="0" collapsed="false">
      <c r="B23" s="8" t="s">
        <v>65</v>
      </c>
      <c r="C23" s="15"/>
      <c r="D23" s="29" t="n">
        <v>25</v>
      </c>
    </row>
    <row r="24" customFormat="false" ht="15" hidden="false" customHeight="false" outlineLevel="0" collapsed="false">
      <c r="B24" s="8" t="s">
        <v>66</v>
      </c>
      <c r="C24" s="15"/>
      <c r="D24" s="30" t="n">
        <v>0.04</v>
      </c>
    </row>
    <row r="25" customFormat="false" ht="15" hidden="false" customHeight="false" outlineLevel="0" collapsed="false">
      <c r="B25" s="8" t="s">
        <v>67</v>
      </c>
      <c r="C25" s="15"/>
      <c r="D25" s="26" t="n">
        <v>46388</v>
      </c>
    </row>
    <row r="26" customFormat="false" ht="15" hidden="false" customHeight="false" outlineLevel="0" collapsed="false">
      <c r="B26" s="8" t="s">
        <v>68</v>
      </c>
      <c r="C26" s="15"/>
      <c r="D26" s="27" t="n">
        <v>2026</v>
      </c>
    </row>
    <row r="28" customFormat="false" ht="18" hidden="false" customHeight="true" outlineLevel="0" collapsed="false">
      <c r="B28" s="6" t="s">
        <v>69</v>
      </c>
      <c r="C28" s="7"/>
      <c r="D28" s="7"/>
      <c r="E28" s="7"/>
      <c r="F28" s="7"/>
    </row>
    <row r="29" customFormat="false" ht="15" hidden="false" customHeight="false" outlineLevel="0" collapsed="false">
      <c r="B29" s="8" t="s">
        <v>70</v>
      </c>
      <c r="C29" s="15"/>
      <c r="D29" s="31" t="n">
        <v>50</v>
      </c>
      <c r="F29" s="32" t="s">
        <v>71</v>
      </c>
    </row>
    <row r="30" customFormat="false" ht="15" hidden="false" customHeight="false" outlineLevel="0" collapsed="false">
      <c r="B30" s="8" t="s">
        <v>14</v>
      </c>
      <c r="C30" s="15"/>
      <c r="D30" s="29" t="n">
        <v>10</v>
      </c>
      <c r="F30" s="32" t="s">
        <v>72</v>
      </c>
    </row>
    <row r="31" customFormat="false" ht="15" hidden="false" customHeight="false" outlineLevel="0" collapsed="false">
      <c r="B31" s="8" t="s">
        <v>73</v>
      </c>
      <c r="C31" s="15"/>
      <c r="D31" s="33" t="n">
        <v>0</v>
      </c>
    </row>
    <row r="32" customFormat="false" ht="15" hidden="false" customHeight="false" outlineLevel="0" collapsed="false">
      <c r="B32" s="8" t="s">
        <v>74</v>
      </c>
      <c r="C32" s="15"/>
      <c r="D32" s="33" t="n">
        <v>0</v>
      </c>
    </row>
    <row r="34" customFormat="false" ht="18" hidden="false" customHeight="true" outlineLevel="0" collapsed="false">
      <c r="B34" s="6" t="s">
        <v>75</v>
      </c>
      <c r="C34" s="7"/>
      <c r="D34" s="7"/>
      <c r="E34" s="7"/>
      <c r="F34" s="7"/>
    </row>
    <row r="35" customFormat="false" ht="15" hidden="false" customHeight="false" outlineLevel="0" collapsed="false">
      <c r="B35" s="20" t="s">
        <v>42</v>
      </c>
      <c r="C35" s="15"/>
      <c r="D35" s="21" t="s">
        <v>76</v>
      </c>
    </row>
    <row r="36" customFormat="false" ht="15" hidden="false" customHeight="false" outlineLevel="0" collapsed="false">
      <c r="B36" s="22" t="n">
        <v>1</v>
      </c>
      <c r="C36" s="15"/>
      <c r="D36" s="34" t="n">
        <f aca="false">$D$17</f>
        <v>100</v>
      </c>
    </row>
    <row r="37" customFormat="false" ht="15" hidden="false" customHeight="false" outlineLevel="0" collapsed="false">
      <c r="B37" s="22" t="n">
        <v>2</v>
      </c>
      <c r="C37" s="15"/>
      <c r="D37" s="34" t="n">
        <f aca="false">$D$36*(1+$D$18)</f>
        <v>103</v>
      </c>
    </row>
    <row r="38" customFormat="false" ht="15" hidden="false" customHeight="false" outlineLevel="0" collapsed="false">
      <c r="B38" s="22" t="n">
        <v>3</v>
      </c>
      <c r="C38" s="15"/>
      <c r="D38" s="34" t="n">
        <f aca="false">$D$37*(1+$D$18)</f>
        <v>106.09</v>
      </c>
    </row>
    <row r="39" customFormat="false" ht="15" hidden="false" customHeight="false" outlineLevel="0" collapsed="false">
      <c r="B39" s="22" t="n">
        <v>4</v>
      </c>
      <c r="C39" s="15"/>
      <c r="D39" s="34" t="n">
        <f aca="false">$D$38*(1+$D$18)</f>
        <v>109.2727</v>
      </c>
    </row>
    <row r="40" customFormat="false" ht="15" hidden="false" customHeight="false" outlineLevel="0" collapsed="false">
      <c r="B40" s="22" t="n">
        <v>5</v>
      </c>
      <c r="C40" s="15"/>
      <c r="D40" s="34" t="n">
        <f aca="false">$D$39*(1+$D$18)</f>
        <v>112.550881</v>
      </c>
    </row>
  </sheetData>
  <mergeCells count="2">
    <mergeCell ref="B2:F2"/>
    <mergeCell ref="B3:F3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L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8" topLeftCell="D9" activePane="bottomRight" state="frozen"/>
      <selection pane="topLeft" activeCell="A1" activeCellId="0" sqref="A1"/>
      <selection pane="topRight" activeCell="D1" activeCellId="0" sqref="D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30"/>
    <col collapsed="false" customWidth="true" hidden="false" outlineLevel="0" max="3" min="3" style="0" width="2"/>
    <col collapsed="false" customWidth="true" hidden="false" outlineLevel="0" max="63" min="4" style="0" width="11"/>
    <col collapsed="false" customWidth="true" hidden="false" outlineLevel="0" max="64" min="64" style="0" width="16"/>
  </cols>
  <sheetData>
    <row r="2" customFormat="false" ht="25.5" hidden="false" customHeight="true" outlineLevel="0" collapsed="false">
      <c r="B2" s="1" t="s">
        <v>77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customFormat="false" ht="15.75" hidden="false" customHeight="true" outlineLevel="0" collapsed="false">
      <c r="B3" s="2" t="s">
        <v>78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5" customFormat="false" ht="15" hidden="false" customHeight="false" outlineLevel="0" collapsed="false">
      <c r="B5" s="35" t="s">
        <v>42</v>
      </c>
      <c r="C5" s="36"/>
      <c r="D5" s="37" t="n">
        <v>1</v>
      </c>
      <c r="E5" s="37" t="n">
        <v>1</v>
      </c>
      <c r="F5" s="37" t="n">
        <v>1</v>
      </c>
      <c r="G5" s="37" t="n">
        <v>1</v>
      </c>
      <c r="H5" s="37" t="n">
        <v>1</v>
      </c>
      <c r="I5" s="37" t="n">
        <v>1</v>
      </c>
      <c r="J5" s="37" t="n">
        <v>1</v>
      </c>
      <c r="K5" s="37" t="n">
        <v>1</v>
      </c>
      <c r="L5" s="37" t="n">
        <v>1</v>
      </c>
      <c r="M5" s="37" t="n">
        <v>1</v>
      </c>
      <c r="N5" s="37" t="n">
        <v>1</v>
      </c>
      <c r="O5" s="37" t="n">
        <v>1</v>
      </c>
      <c r="P5" s="37" t="n">
        <v>2</v>
      </c>
      <c r="Q5" s="37" t="n">
        <v>2</v>
      </c>
      <c r="R5" s="37" t="n">
        <v>2</v>
      </c>
      <c r="S5" s="37" t="n">
        <v>2</v>
      </c>
      <c r="T5" s="37" t="n">
        <v>2</v>
      </c>
      <c r="U5" s="37" t="n">
        <v>2</v>
      </c>
      <c r="V5" s="37" t="n">
        <v>2</v>
      </c>
      <c r="W5" s="37" t="n">
        <v>2</v>
      </c>
      <c r="X5" s="37" t="n">
        <v>2</v>
      </c>
      <c r="Y5" s="37" t="n">
        <v>2</v>
      </c>
      <c r="Z5" s="37" t="n">
        <v>2</v>
      </c>
      <c r="AA5" s="37" t="n">
        <v>2</v>
      </c>
      <c r="AB5" s="37" t="n">
        <v>3</v>
      </c>
      <c r="AC5" s="37" t="n">
        <v>3</v>
      </c>
      <c r="AD5" s="37" t="n">
        <v>3</v>
      </c>
      <c r="AE5" s="37" t="n">
        <v>3</v>
      </c>
      <c r="AF5" s="37" t="n">
        <v>3</v>
      </c>
      <c r="AG5" s="37" t="n">
        <v>3</v>
      </c>
      <c r="AH5" s="37" t="n">
        <v>3</v>
      </c>
      <c r="AI5" s="37" t="n">
        <v>3</v>
      </c>
      <c r="AJ5" s="37" t="n">
        <v>3</v>
      </c>
      <c r="AK5" s="37" t="n">
        <v>3</v>
      </c>
      <c r="AL5" s="37" t="n">
        <v>3</v>
      </c>
      <c r="AM5" s="37" t="n">
        <v>3</v>
      </c>
      <c r="AN5" s="37" t="n">
        <v>4</v>
      </c>
      <c r="AO5" s="37" t="n">
        <v>4</v>
      </c>
      <c r="AP5" s="37" t="n">
        <v>4</v>
      </c>
      <c r="AQ5" s="37" t="n">
        <v>4</v>
      </c>
      <c r="AR5" s="37" t="n">
        <v>4</v>
      </c>
      <c r="AS5" s="37" t="n">
        <v>4</v>
      </c>
      <c r="AT5" s="37" t="n">
        <v>4</v>
      </c>
      <c r="AU5" s="37" t="n">
        <v>4</v>
      </c>
      <c r="AV5" s="37" t="n">
        <v>4</v>
      </c>
      <c r="AW5" s="37" t="n">
        <v>4</v>
      </c>
      <c r="AX5" s="37" t="n">
        <v>4</v>
      </c>
      <c r="AY5" s="37" t="n">
        <v>4</v>
      </c>
      <c r="AZ5" s="37" t="n">
        <v>5</v>
      </c>
      <c r="BA5" s="37" t="n">
        <v>5</v>
      </c>
      <c r="BB5" s="37" t="n">
        <v>5</v>
      </c>
      <c r="BC5" s="37" t="n">
        <v>5</v>
      </c>
      <c r="BD5" s="37" t="n">
        <v>5</v>
      </c>
      <c r="BE5" s="37" t="n">
        <v>5</v>
      </c>
      <c r="BF5" s="37" t="n">
        <v>5</v>
      </c>
      <c r="BG5" s="37" t="n">
        <v>5</v>
      </c>
      <c r="BH5" s="37" t="n">
        <v>5</v>
      </c>
      <c r="BI5" s="37" t="n">
        <v>5</v>
      </c>
      <c r="BJ5" s="37" t="n">
        <v>5</v>
      </c>
      <c r="BK5" s="37" t="n">
        <v>5</v>
      </c>
      <c r="BL5" s="4" t="s">
        <v>79</v>
      </c>
    </row>
    <row r="6" customFormat="false" ht="15" hidden="false" customHeight="false" outlineLevel="0" collapsed="false">
      <c r="B6" s="35" t="s">
        <v>80</v>
      </c>
      <c r="C6" s="36"/>
      <c r="D6" s="37" t="n">
        <v>1</v>
      </c>
      <c r="E6" s="37" t="n">
        <v>2</v>
      </c>
      <c r="F6" s="37" t="n">
        <v>3</v>
      </c>
      <c r="G6" s="37" t="n">
        <v>4</v>
      </c>
      <c r="H6" s="37" t="n">
        <v>5</v>
      </c>
      <c r="I6" s="37" t="n">
        <v>6</v>
      </c>
      <c r="J6" s="37" t="n">
        <v>7</v>
      </c>
      <c r="K6" s="37" t="n">
        <v>8</v>
      </c>
      <c r="L6" s="37" t="n">
        <v>9</v>
      </c>
      <c r="M6" s="37" t="n">
        <v>10</v>
      </c>
      <c r="N6" s="37" t="n">
        <v>11</v>
      </c>
      <c r="O6" s="37" t="n">
        <v>12</v>
      </c>
      <c r="P6" s="37" t="n">
        <v>13</v>
      </c>
      <c r="Q6" s="37" t="n">
        <v>14</v>
      </c>
      <c r="R6" s="37" t="n">
        <v>15</v>
      </c>
      <c r="S6" s="37" t="n">
        <v>16</v>
      </c>
      <c r="T6" s="37" t="n">
        <v>17</v>
      </c>
      <c r="U6" s="37" t="n">
        <v>18</v>
      </c>
      <c r="V6" s="37" t="n">
        <v>19</v>
      </c>
      <c r="W6" s="37" t="n">
        <v>20</v>
      </c>
      <c r="X6" s="37" t="n">
        <v>21</v>
      </c>
      <c r="Y6" s="37" t="n">
        <v>22</v>
      </c>
      <c r="Z6" s="37" t="n">
        <v>23</v>
      </c>
      <c r="AA6" s="37" t="n">
        <v>24</v>
      </c>
      <c r="AB6" s="37" t="n">
        <v>25</v>
      </c>
      <c r="AC6" s="37" t="n">
        <v>26</v>
      </c>
      <c r="AD6" s="37" t="n">
        <v>27</v>
      </c>
      <c r="AE6" s="37" t="n">
        <v>28</v>
      </c>
      <c r="AF6" s="37" t="n">
        <v>29</v>
      </c>
      <c r="AG6" s="37" t="n">
        <v>30</v>
      </c>
      <c r="AH6" s="37" t="n">
        <v>31</v>
      </c>
      <c r="AI6" s="37" t="n">
        <v>32</v>
      </c>
      <c r="AJ6" s="37" t="n">
        <v>33</v>
      </c>
      <c r="AK6" s="37" t="n">
        <v>34</v>
      </c>
      <c r="AL6" s="37" t="n">
        <v>35</v>
      </c>
      <c r="AM6" s="37" t="n">
        <v>36</v>
      </c>
      <c r="AN6" s="37" t="n">
        <v>37</v>
      </c>
      <c r="AO6" s="37" t="n">
        <v>38</v>
      </c>
      <c r="AP6" s="37" t="n">
        <v>39</v>
      </c>
      <c r="AQ6" s="37" t="n">
        <v>40</v>
      </c>
      <c r="AR6" s="37" t="n">
        <v>41</v>
      </c>
      <c r="AS6" s="37" t="n">
        <v>42</v>
      </c>
      <c r="AT6" s="37" t="n">
        <v>43</v>
      </c>
      <c r="AU6" s="37" t="n">
        <v>44</v>
      </c>
      <c r="AV6" s="37" t="n">
        <v>45</v>
      </c>
      <c r="AW6" s="37" t="n">
        <v>46</v>
      </c>
      <c r="AX6" s="37" t="n">
        <v>47</v>
      </c>
      <c r="AY6" s="37" t="n">
        <v>48</v>
      </c>
      <c r="AZ6" s="37" t="n">
        <v>49</v>
      </c>
      <c r="BA6" s="37" t="n">
        <v>50</v>
      </c>
      <c r="BB6" s="37" t="n">
        <v>51</v>
      </c>
      <c r="BC6" s="37" t="n">
        <v>52</v>
      </c>
      <c r="BD6" s="37" t="n">
        <v>53</v>
      </c>
      <c r="BE6" s="37" t="n">
        <v>54</v>
      </c>
      <c r="BF6" s="37" t="n">
        <v>55</v>
      </c>
      <c r="BG6" s="37" t="n">
        <v>56</v>
      </c>
      <c r="BH6" s="37" t="n">
        <v>57</v>
      </c>
      <c r="BI6" s="37" t="n">
        <v>58</v>
      </c>
      <c r="BJ6" s="37" t="n">
        <v>59</v>
      </c>
      <c r="BK6" s="37" t="n">
        <v>60</v>
      </c>
      <c r="BL6" s="3"/>
    </row>
    <row r="7" customFormat="false" ht="15" hidden="false" customHeight="false" outlineLevel="0" collapsed="false">
      <c r="B7" s="38" t="s">
        <v>81</v>
      </c>
      <c r="C7" s="7"/>
      <c r="D7" s="39" t="n">
        <f aca="false">EDATE('Full Service Example Assump'!$D$11,0)</f>
        <v>46023</v>
      </c>
      <c r="E7" s="39" t="n">
        <f aca="false">EDATE('Full Service Example Assump'!$D$11,1)</f>
        <v>46054</v>
      </c>
      <c r="F7" s="39" t="n">
        <f aca="false">EDATE('Full Service Example Assump'!$D$11,2)</f>
        <v>46082</v>
      </c>
      <c r="G7" s="39" t="n">
        <f aca="false">EDATE('Full Service Example Assump'!$D$11,3)</f>
        <v>46113</v>
      </c>
      <c r="H7" s="39" t="n">
        <f aca="false">EDATE('Full Service Example Assump'!$D$11,4)</f>
        <v>46143</v>
      </c>
      <c r="I7" s="39" t="n">
        <f aca="false">EDATE('Full Service Example Assump'!$D$11,5)</f>
        <v>46174</v>
      </c>
      <c r="J7" s="39" t="n">
        <f aca="false">EDATE('Full Service Example Assump'!$D$11,6)</f>
        <v>46204</v>
      </c>
      <c r="K7" s="39" t="n">
        <f aca="false">EDATE('Full Service Example Assump'!$D$11,7)</f>
        <v>46235</v>
      </c>
      <c r="L7" s="39" t="n">
        <f aca="false">EDATE('Full Service Example Assump'!$D$11,8)</f>
        <v>46266</v>
      </c>
      <c r="M7" s="39" t="n">
        <f aca="false">EDATE('Full Service Example Assump'!$D$11,9)</f>
        <v>46296</v>
      </c>
      <c r="N7" s="39" t="n">
        <f aca="false">EDATE('Full Service Example Assump'!$D$11,10)</f>
        <v>46327</v>
      </c>
      <c r="O7" s="39" t="n">
        <f aca="false">EDATE('Full Service Example Assump'!$D$11,11)</f>
        <v>46357</v>
      </c>
      <c r="P7" s="39" t="n">
        <f aca="false">EDATE('Full Service Example Assump'!$D$11,12)</f>
        <v>46388</v>
      </c>
      <c r="Q7" s="39" t="n">
        <f aca="false">EDATE('Full Service Example Assump'!$D$11,13)</f>
        <v>46419</v>
      </c>
      <c r="R7" s="39" t="n">
        <f aca="false">EDATE('Full Service Example Assump'!$D$11,14)</f>
        <v>46447</v>
      </c>
      <c r="S7" s="39" t="n">
        <f aca="false">EDATE('Full Service Example Assump'!$D$11,15)</f>
        <v>46478</v>
      </c>
      <c r="T7" s="39" t="n">
        <f aca="false">EDATE('Full Service Example Assump'!$D$11,16)</f>
        <v>46508</v>
      </c>
      <c r="U7" s="39" t="n">
        <f aca="false">EDATE('Full Service Example Assump'!$D$11,17)</f>
        <v>46539</v>
      </c>
      <c r="V7" s="39" t="n">
        <f aca="false">EDATE('Full Service Example Assump'!$D$11,18)</f>
        <v>46569</v>
      </c>
      <c r="W7" s="39" t="n">
        <f aca="false">EDATE('Full Service Example Assump'!$D$11,19)</f>
        <v>46600</v>
      </c>
      <c r="X7" s="39" t="n">
        <f aca="false">EDATE('Full Service Example Assump'!$D$11,20)</f>
        <v>46631</v>
      </c>
      <c r="Y7" s="39" t="n">
        <f aca="false">EDATE('Full Service Example Assump'!$D$11,21)</f>
        <v>46661</v>
      </c>
      <c r="Z7" s="39" t="n">
        <f aca="false">EDATE('Full Service Example Assump'!$D$11,22)</f>
        <v>46692</v>
      </c>
      <c r="AA7" s="39" t="n">
        <f aca="false">EDATE('Full Service Example Assump'!$D$11,23)</f>
        <v>46722</v>
      </c>
      <c r="AB7" s="39" t="n">
        <f aca="false">EDATE('Full Service Example Assump'!$D$11,24)</f>
        <v>46753</v>
      </c>
      <c r="AC7" s="39" t="n">
        <f aca="false">EDATE('Full Service Example Assump'!$D$11,25)</f>
        <v>46784</v>
      </c>
      <c r="AD7" s="39" t="n">
        <f aca="false">EDATE('Full Service Example Assump'!$D$11,26)</f>
        <v>46813</v>
      </c>
      <c r="AE7" s="39" t="n">
        <f aca="false">EDATE('Full Service Example Assump'!$D$11,27)</f>
        <v>46844</v>
      </c>
      <c r="AF7" s="39" t="n">
        <f aca="false">EDATE('Full Service Example Assump'!$D$11,28)</f>
        <v>46874</v>
      </c>
      <c r="AG7" s="39" t="n">
        <f aca="false">EDATE('Full Service Example Assump'!$D$11,29)</f>
        <v>46905</v>
      </c>
      <c r="AH7" s="39" t="n">
        <f aca="false">EDATE('Full Service Example Assump'!$D$11,30)</f>
        <v>46935</v>
      </c>
      <c r="AI7" s="39" t="n">
        <f aca="false">EDATE('Full Service Example Assump'!$D$11,31)</f>
        <v>46966</v>
      </c>
      <c r="AJ7" s="39" t="n">
        <f aca="false">EDATE('Full Service Example Assump'!$D$11,32)</f>
        <v>46997</v>
      </c>
      <c r="AK7" s="39" t="n">
        <f aca="false">EDATE('Full Service Example Assump'!$D$11,33)</f>
        <v>47027</v>
      </c>
      <c r="AL7" s="39" t="n">
        <f aca="false">EDATE('Full Service Example Assump'!$D$11,34)</f>
        <v>47058</v>
      </c>
      <c r="AM7" s="39" t="n">
        <f aca="false">EDATE('Full Service Example Assump'!$D$11,35)</f>
        <v>47088</v>
      </c>
      <c r="AN7" s="39" t="n">
        <f aca="false">EDATE('Full Service Example Assump'!$D$11,36)</f>
        <v>47119</v>
      </c>
      <c r="AO7" s="39" t="n">
        <f aca="false">EDATE('Full Service Example Assump'!$D$11,37)</f>
        <v>47150</v>
      </c>
      <c r="AP7" s="39" t="n">
        <f aca="false">EDATE('Full Service Example Assump'!$D$11,38)</f>
        <v>47178</v>
      </c>
      <c r="AQ7" s="39" t="n">
        <f aca="false">EDATE('Full Service Example Assump'!$D$11,39)</f>
        <v>47209</v>
      </c>
      <c r="AR7" s="39" t="n">
        <f aca="false">EDATE('Full Service Example Assump'!$D$11,40)</f>
        <v>47239</v>
      </c>
      <c r="AS7" s="39" t="n">
        <f aca="false">EDATE('Full Service Example Assump'!$D$11,41)</f>
        <v>47270</v>
      </c>
      <c r="AT7" s="39" t="n">
        <f aca="false">EDATE('Full Service Example Assump'!$D$11,42)</f>
        <v>47300</v>
      </c>
      <c r="AU7" s="39" t="n">
        <f aca="false">EDATE('Full Service Example Assump'!$D$11,43)</f>
        <v>47331</v>
      </c>
      <c r="AV7" s="39" t="n">
        <f aca="false">EDATE('Full Service Example Assump'!$D$11,44)</f>
        <v>47362</v>
      </c>
      <c r="AW7" s="39" t="n">
        <f aca="false">EDATE('Full Service Example Assump'!$D$11,45)</f>
        <v>47392</v>
      </c>
      <c r="AX7" s="39" t="n">
        <f aca="false">EDATE('Full Service Example Assump'!$D$11,46)</f>
        <v>47423</v>
      </c>
      <c r="AY7" s="39" t="n">
        <f aca="false">EDATE('Full Service Example Assump'!$D$11,47)</f>
        <v>47453</v>
      </c>
      <c r="AZ7" s="39" t="n">
        <f aca="false">EDATE('Full Service Example Assump'!$D$11,48)</f>
        <v>47484</v>
      </c>
      <c r="BA7" s="39" t="n">
        <f aca="false">EDATE('Full Service Example Assump'!$D$11,49)</f>
        <v>47515</v>
      </c>
      <c r="BB7" s="39" t="n">
        <f aca="false">EDATE('Full Service Example Assump'!$D$11,50)</f>
        <v>47543</v>
      </c>
      <c r="BC7" s="39" t="n">
        <f aca="false">EDATE('Full Service Example Assump'!$D$11,51)</f>
        <v>47574</v>
      </c>
      <c r="BD7" s="39" t="n">
        <f aca="false">EDATE('Full Service Example Assump'!$D$11,52)</f>
        <v>47604</v>
      </c>
      <c r="BE7" s="39" t="n">
        <f aca="false">EDATE('Full Service Example Assump'!$D$11,53)</f>
        <v>47635</v>
      </c>
      <c r="BF7" s="39" t="n">
        <f aca="false">EDATE('Full Service Example Assump'!$D$11,54)</f>
        <v>47665</v>
      </c>
      <c r="BG7" s="39" t="n">
        <f aca="false">EDATE('Full Service Example Assump'!$D$11,55)</f>
        <v>47696</v>
      </c>
      <c r="BH7" s="39" t="n">
        <f aca="false">EDATE('Full Service Example Assump'!$D$11,56)</f>
        <v>47727</v>
      </c>
      <c r="BI7" s="39" t="n">
        <f aca="false">EDATE('Full Service Example Assump'!$D$11,57)</f>
        <v>47757</v>
      </c>
      <c r="BJ7" s="39" t="n">
        <f aca="false">EDATE('Full Service Example Assump'!$D$11,58)</f>
        <v>47788</v>
      </c>
      <c r="BK7" s="39" t="n">
        <f aca="false">EDATE('Full Service Example Assump'!$D$11,59)</f>
        <v>47818</v>
      </c>
      <c r="BL7" s="40"/>
    </row>
    <row r="9" customFormat="false" ht="18" hidden="false" customHeight="true" outlineLevel="0" collapsed="false">
      <c r="B9" s="6" t="s">
        <v>58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</row>
    <row r="10" customFormat="false" ht="15" hidden="false" customHeight="false" outlineLevel="0" collapsed="false">
      <c r="B10" s="8" t="s">
        <v>82</v>
      </c>
      <c r="C10" s="15"/>
      <c r="D10" s="41" t="n">
        <f aca="false">'Full Service Example Assump'!$D$9*'Full Service Example Assump'!$D$36/12</f>
        <v>83333.3333333333</v>
      </c>
      <c r="E10" s="41" t="n">
        <f aca="false">'Full Service Example Assump'!$D$9*'Full Service Example Assump'!$D$36/12</f>
        <v>83333.3333333333</v>
      </c>
      <c r="F10" s="41" t="n">
        <f aca="false">'Full Service Example Assump'!$D$9*'Full Service Example Assump'!$D$36/12</f>
        <v>83333.3333333333</v>
      </c>
      <c r="G10" s="41" t="n">
        <f aca="false">'Full Service Example Assump'!$D$9*'Full Service Example Assump'!$D$36/12</f>
        <v>83333.3333333333</v>
      </c>
      <c r="H10" s="41" t="n">
        <f aca="false">'Full Service Example Assump'!$D$9*'Full Service Example Assump'!$D$36/12</f>
        <v>83333.3333333333</v>
      </c>
      <c r="I10" s="41" t="n">
        <f aca="false">'Full Service Example Assump'!$D$9*'Full Service Example Assump'!$D$36/12</f>
        <v>83333.3333333333</v>
      </c>
      <c r="J10" s="41" t="n">
        <f aca="false">'Full Service Example Assump'!$D$9*'Full Service Example Assump'!$D$36/12</f>
        <v>83333.3333333333</v>
      </c>
      <c r="K10" s="41" t="n">
        <f aca="false">'Full Service Example Assump'!$D$9*'Full Service Example Assump'!$D$36/12</f>
        <v>83333.3333333333</v>
      </c>
      <c r="L10" s="41" t="n">
        <f aca="false">'Full Service Example Assump'!$D$9*'Full Service Example Assump'!$D$36/12</f>
        <v>83333.3333333333</v>
      </c>
      <c r="M10" s="41" t="n">
        <f aca="false">'Full Service Example Assump'!$D$9*'Full Service Example Assump'!$D$36/12</f>
        <v>83333.3333333333</v>
      </c>
      <c r="N10" s="41" t="n">
        <f aca="false">'Full Service Example Assump'!$D$9*'Full Service Example Assump'!$D$36/12</f>
        <v>83333.3333333333</v>
      </c>
      <c r="O10" s="41" t="n">
        <f aca="false">'Full Service Example Assump'!$D$9*'Full Service Example Assump'!$D$36/12</f>
        <v>83333.3333333333</v>
      </c>
      <c r="P10" s="41" t="n">
        <f aca="false">'Full Service Example Assump'!$D$9*'Full Service Example Assump'!$D$37/12</f>
        <v>85833.3333333333</v>
      </c>
      <c r="Q10" s="41" t="n">
        <f aca="false">'Full Service Example Assump'!$D$9*'Full Service Example Assump'!$D$37/12</f>
        <v>85833.3333333333</v>
      </c>
      <c r="R10" s="41" t="n">
        <f aca="false">'Full Service Example Assump'!$D$9*'Full Service Example Assump'!$D$37/12</f>
        <v>85833.3333333333</v>
      </c>
      <c r="S10" s="41" t="n">
        <f aca="false">'Full Service Example Assump'!$D$9*'Full Service Example Assump'!$D$37/12</f>
        <v>85833.3333333333</v>
      </c>
      <c r="T10" s="41" t="n">
        <f aca="false">'Full Service Example Assump'!$D$9*'Full Service Example Assump'!$D$37/12</f>
        <v>85833.3333333333</v>
      </c>
      <c r="U10" s="41" t="n">
        <f aca="false">'Full Service Example Assump'!$D$9*'Full Service Example Assump'!$D$37/12</f>
        <v>85833.3333333333</v>
      </c>
      <c r="V10" s="41" t="n">
        <f aca="false">'Full Service Example Assump'!$D$9*'Full Service Example Assump'!$D$37/12</f>
        <v>85833.3333333333</v>
      </c>
      <c r="W10" s="41" t="n">
        <f aca="false">'Full Service Example Assump'!$D$9*'Full Service Example Assump'!$D$37/12</f>
        <v>85833.3333333333</v>
      </c>
      <c r="X10" s="41" t="n">
        <f aca="false">'Full Service Example Assump'!$D$9*'Full Service Example Assump'!$D$37/12</f>
        <v>85833.3333333333</v>
      </c>
      <c r="Y10" s="41" t="n">
        <f aca="false">'Full Service Example Assump'!$D$9*'Full Service Example Assump'!$D$37/12</f>
        <v>85833.3333333333</v>
      </c>
      <c r="Z10" s="41" t="n">
        <f aca="false">'Full Service Example Assump'!$D$9*'Full Service Example Assump'!$D$37/12</f>
        <v>85833.3333333333</v>
      </c>
      <c r="AA10" s="41" t="n">
        <f aca="false">'Full Service Example Assump'!$D$9*'Full Service Example Assump'!$D$37/12</f>
        <v>85833.3333333333</v>
      </c>
      <c r="AB10" s="41" t="n">
        <f aca="false">'Full Service Example Assump'!$D$9*'Full Service Example Assump'!$D$38/12</f>
        <v>88408.3333333333</v>
      </c>
      <c r="AC10" s="41" t="n">
        <f aca="false">'Full Service Example Assump'!$D$9*'Full Service Example Assump'!$D$38/12</f>
        <v>88408.3333333333</v>
      </c>
      <c r="AD10" s="41" t="n">
        <f aca="false">'Full Service Example Assump'!$D$9*'Full Service Example Assump'!$D$38/12</f>
        <v>88408.3333333333</v>
      </c>
      <c r="AE10" s="41" t="n">
        <f aca="false">'Full Service Example Assump'!$D$9*'Full Service Example Assump'!$D$38/12</f>
        <v>88408.3333333333</v>
      </c>
      <c r="AF10" s="41" t="n">
        <f aca="false">'Full Service Example Assump'!$D$9*'Full Service Example Assump'!$D$38/12</f>
        <v>88408.3333333333</v>
      </c>
      <c r="AG10" s="41" t="n">
        <f aca="false">'Full Service Example Assump'!$D$9*'Full Service Example Assump'!$D$38/12</f>
        <v>88408.3333333333</v>
      </c>
      <c r="AH10" s="41" t="n">
        <f aca="false">'Full Service Example Assump'!$D$9*'Full Service Example Assump'!$D$38/12</f>
        <v>88408.3333333333</v>
      </c>
      <c r="AI10" s="41" t="n">
        <f aca="false">'Full Service Example Assump'!$D$9*'Full Service Example Assump'!$D$38/12</f>
        <v>88408.3333333333</v>
      </c>
      <c r="AJ10" s="41" t="n">
        <f aca="false">'Full Service Example Assump'!$D$9*'Full Service Example Assump'!$D$38/12</f>
        <v>88408.3333333333</v>
      </c>
      <c r="AK10" s="41" t="n">
        <f aca="false">'Full Service Example Assump'!$D$9*'Full Service Example Assump'!$D$38/12</f>
        <v>88408.3333333333</v>
      </c>
      <c r="AL10" s="41" t="n">
        <f aca="false">'Full Service Example Assump'!$D$9*'Full Service Example Assump'!$D$38/12</f>
        <v>88408.3333333333</v>
      </c>
      <c r="AM10" s="41" t="n">
        <f aca="false">'Full Service Example Assump'!$D$9*'Full Service Example Assump'!$D$38/12</f>
        <v>88408.3333333333</v>
      </c>
      <c r="AN10" s="41" t="n">
        <f aca="false">'Full Service Example Assump'!$D$9*'Full Service Example Assump'!$D$39/12</f>
        <v>91060.5833333333</v>
      </c>
      <c r="AO10" s="41" t="n">
        <f aca="false">'Full Service Example Assump'!$D$9*'Full Service Example Assump'!$D$39/12</f>
        <v>91060.5833333333</v>
      </c>
      <c r="AP10" s="41" t="n">
        <f aca="false">'Full Service Example Assump'!$D$9*'Full Service Example Assump'!$D$39/12</f>
        <v>91060.5833333333</v>
      </c>
      <c r="AQ10" s="41" t="n">
        <f aca="false">'Full Service Example Assump'!$D$9*'Full Service Example Assump'!$D$39/12</f>
        <v>91060.5833333333</v>
      </c>
      <c r="AR10" s="41" t="n">
        <f aca="false">'Full Service Example Assump'!$D$9*'Full Service Example Assump'!$D$39/12</f>
        <v>91060.5833333333</v>
      </c>
      <c r="AS10" s="41" t="n">
        <f aca="false">'Full Service Example Assump'!$D$9*'Full Service Example Assump'!$D$39/12</f>
        <v>91060.5833333333</v>
      </c>
      <c r="AT10" s="41" t="n">
        <f aca="false">'Full Service Example Assump'!$D$9*'Full Service Example Assump'!$D$39/12</f>
        <v>91060.5833333333</v>
      </c>
      <c r="AU10" s="41" t="n">
        <f aca="false">'Full Service Example Assump'!$D$9*'Full Service Example Assump'!$D$39/12</f>
        <v>91060.5833333333</v>
      </c>
      <c r="AV10" s="41" t="n">
        <f aca="false">'Full Service Example Assump'!$D$9*'Full Service Example Assump'!$D$39/12</f>
        <v>91060.5833333333</v>
      </c>
      <c r="AW10" s="41" t="n">
        <f aca="false">'Full Service Example Assump'!$D$9*'Full Service Example Assump'!$D$39/12</f>
        <v>91060.5833333333</v>
      </c>
      <c r="AX10" s="41" t="n">
        <f aca="false">'Full Service Example Assump'!$D$9*'Full Service Example Assump'!$D$39/12</f>
        <v>91060.5833333333</v>
      </c>
      <c r="AY10" s="41" t="n">
        <f aca="false">'Full Service Example Assump'!$D$9*'Full Service Example Assump'!$D$39/12</f>
        <v>91060.5833333333</v>
      </c>
      <c r="AZ10" s="41" t="n">
        <f aca="false">'Full Service Example Assump'!$D$9*'Full Service Example Assump'!$D$40/12</f>
        <v>93792.4008333333</v>
      </c>
      <c r="BA10" s="41" t="n">
        <f aca="false">'Full Service Example Assump'!$D$9*'Full Service Example Assump'!$D$40/12</f>
        <v>93792.4008333333</v>
      </c>
      <c r="BB10" s="41" t="n">
        <f aca="false">'Full Service Example Assump'!$D$9*'Full Service Example Assump'!$D$40/12</f>
        <v>93792.4008333333</v>
      </c>
      <c r="BC10" s="41" t="n">
        <f aca="false">'Full Service Example Assump'!$D$9*'Full Service Example Assump'!$D$40/12</f>
        <v>93792.4008333333</v>
      </c>
      <c r="BD10" s="41" t="n">
        <f aca="false">'Full Service Example Assump'!$D$9*'Full Service Example Assump'!$D$40/12</f>
        <v>93792.4008333333</v>
      </c>
      <c r="BE10" s="41" t="n">
        <f aca="false">'Full Service Example Assump'!$D$9*'Full Service Example Assump'!$D$40/12</f>
        <v>93792.4008333333</v>
      </c>
      <c r="BF10" s="41" t="n">
        <f aca="false">'Full Service Example Assump'!$D$9*'Full Service Example Assump'!$D$40/12</f>
        <v>93792.4008333333</v>
      </c>
      <c r="BG10" s="41" t="n">
        <f aca="false">'Full Service Example Assump'!$D$9*'Full Service Example Assump'!$D$40/12</f>
        <v>93792.4008333333</v>
      </c>
      <c r="BH10" s="41" t="n">
        <f aca="false">'Full Service Example Assump'!$D$9*'Full Service Example Assump'!$D$40/12</f>
        <v>93792.4008333333</v>
      </c>
      <c r="BI10" s="41" t="n">
        <f aca="false">'Full Service Example Assump'!$D$9*'Full Service Example Assump'!$D$40/12</f>
        <v>93792.4008333333</v>
      </c>
      <c r="BJ10" s="41" t="n">
        <f aca="false">'Full Service Example Assump'!$D$9*'Full Service Example Assump'!$D$40/12</f>
        <v>93792.4008333333</v>
      </c>
      <c r="BK10" s="41" t="n">
        <f aca="false">'Full Service Example Assump'!$D$9*'Full Service Example Assump'!$D$40/12</f>
        <v>93792.4008333333</v>
      </c>
      <c r="BL10" s="42" t="n">
        <f aca="false">SUM(D10:BK10)</f>
        <v>5309135.81</v>
      </c>
    </row>
    <row r="11" customFormat="false" ht="15" hidden="false" customHeight="false" outlineLevel="0" collapsed="false">
      <c r="B11" s="8" t="s">
        <v>83</v>
      </c>
      <c r="C11" s="15"/>
      <c r="D11" s="41" t="n">
        <f aca="false">IF(1&lt;='Full Service Example Assump'!$D$13,-D10,0)</f>
        <v>-83333.3333333333</v>
      </c>
      <c r="E11" s="41" t="n">
        <f aca="false">IF(2&lt;='Full Service Example Assump'!$D$13,-E10,0)</f>
        <v>-83333.3333333333</v>
      </c>
      <c r="F11" s="41" t="n">
        <f aca="false">IF(3&lt;='Full Service Example Assump'!$D$13,-F10,0)</f>
        <v>-83333.3333333333</v>
      </c>
      <c r="G11" s="41" t="n">
        <f aca="false">IF(4&lt;='Full Service Example Assump'!$D$13,-G10,0)</f>
        <v>0</v>
      </c>
      <c r="H11" s="41" t="n">
        <f aca="false">IF(5&lt;='Full Service Example Assump'!$D$13,-H10,0)</f>
        <v>0</v>
      </c>
      <c r="I11" s="41" t="n">
        <f aca="false">IF(6&lt;='Full Service Example Assump'!$D$13,-I10,0)</f>
        <v>0</v>
      </c>
      <c r="J11" s="41" t="n">
        <f aca="false">IF(7&lt;='Full Service Example Assump'!$D$13,-J10,0)</f>
        <v>0</v>
      </c>
      <c r="K11" s="41" t="n">
        <f aca="false">IF(8&lt;='Full Service Example Assump'!$D$13,-K10,0)</f>
        <v>0</v>
      </c>
      <c r="L11" s="41" t="n">
        <f aca="false">IF(9&lt;='Full Service Example Assump'!$D$13,-L10,0)</f>
        <v>0</v>
      </c>
      <c r="M11" s="41" t="n">
        <f aca="false">IF(10&lt;='Full Service Example Assump'!$D$13,-M10,0)</f>
        <v>0</v>
      </c>
      <c r="N11" s="41" t="n">
        <f aca="false">IF(11&lt;='Full Service Example Assump'!$D$13,-N10,0)</f>
        <v>0</v>
      </c>
      <c r="O11" s="41" t="n">
        <f aca="false">IF(12&lt;='Full Service Example Assump'!$D$13,-O10,0)</f>
        <v>0</v>
      </c>
      <c r="P11" s="41" t="n">
        <f aca="false">IF(13&lt;='Full Service Example Assump'!$D$13,-P10,0)</f>
        <v>0</v>
      </c>
      <c r="Q11" s="41" t="n">
        <f aca="false">IF(14&lt;='Full Service Example Assump'!$D$13,-Q10,0)</f>
        <v>0</v>
      </c>
      <c r="R11" s="41" t="n">
        <f aca="false">IF(15&lt;='Full Service Example Assump'!$D$13,-R10,0)</f>
        <v>0</v>
      </c>
      <c r="S11" s="41" t="n">
        <f aca="false">IF(16&lt;='Full Service Example Assump'!$D$13,-S10,0)</f>
        <v>0</v>
      </c>
      <c r="T11" s="41" t="n">
        <f aca="false">IF(17&lt;='Full Service Example Assump'!$D$13,-T10,0)</f>
        <v>0</v>
      </c>
      <c r="U11" s="41" t="n">
        <f aca="false">IF(18&lt;='Full Service Example Assump'!$D$13,-U10,0)</f>
        <v>0</v>
      </c>
      <c r="V11" s="41" t="n">
        <f aca="false">IF(19&lt;='Full Service Example Assump'!$D$13,-V10,0)</f>
        <v>0</v>
      </c>
      <c r="W11" s="41" t="n">
        <f aca="false">IF(20&lt;='Full Service Example Assump'!$D$13,-W10,0)</f>
        <v>0</v>
      </c>
      <c r="X11" s="41" t="n">
        <f aca="false">IF(21&lt;='Full Service Example Assump'!$D$13,-X10,0)</f>
        <v>0</v>
      </c>
      <c r="Y11" s="41" t="n">
        <f aca="false">IF(22&lt;='Full Service Example Assump'!$D$13,-Y10,0)</f>
        <v>0</v>
      </c>
      <c r="Z11" s="41" t="n">
        <f aca="false">IF(23&lt;='Full Service Example Assump'!$D$13,-Z10,0)</f>
        <v>0</v>
      </c>
      <c r="AA11" s="41" t="n">
        <f aca="false">IF(24&lt;='Full Service Example Assump'!$D$13,-AA10,0)</f>
        <v>0</v>
      </c>
      <c r="AB11" s="41" t="n">
        <f aca="false">IF(25&lt;='Full Service Example Assump'!$D$13,-AB10,0)</f>
        <v>0</v>
      </c>
      <c r="AC11" s="41" t="n">
        <f aca="false">IF(26&lt;='Full Service Example Assump'!$D$13,-AC10,0)</f>
        <v>0</v>
      </c>
      <c r="AD11" s="41" t="n">
        <f aca="false">IF(27&lt;='Full Service Example Assump'!$D$13,-AD10,0)</f>
        <v>0</v>
      </c>
      <c r="AE11" s="41" t="n">
        <f aca="false">IF(28&lt;='Full Service Example Assump'!$D$13,-AE10,0)</f>
        <v>0</v>
      </c>
      <c r="AF11" s="41" t="n">
        <f aca="false">IF(29&lt;='Full Service Example Assump'!$D$13,-AF10,0)</f>
        <v>0</v>
      </c>
      <c r="AG11" s="41" t="n">
        <f aca="false">IF(30&lt;='Full Service Example Assump'!$D$13,-AG10,0)</f>
        <v>0</v>
      </c>
      <c r="AH11" s="41" t="n">
        <f aca="false">IF(31&lt;='Full Service Example Assump'!$D$13,-AH10,0)</f>
        <v>0</v>
      </c>
      <c r="AI11" s="41" t="n">
        <f aca="false">IF(32&lt;='Full Service Example Assump'!$D$13,-AI10,0)</f>
        <v>0</v>
      </c>
      <c r="AJ11" s="41" t="n">
        <f aca="false">IF(33&lt;='Full Service Example Assump'!$D$13,-AJ10,0)</f>
        <v>0</v>
      </c>
      <c r="AK11" s="41" t="n">
        <f aca="false">IF(34&lt;='Full Service Example Assump'!$D$13,-AK10,0)</f>
        <v>0</v>
      </c>
      <c r="AL11" s="41" t="n">
        <f aca="false">IF(35&lt;='Full Service Example Assump'!$D$13,-AL10,0)</f>
        <v>0</v>
      </c>
      <c r="AM11" s="41" t="n">
        <f aca="false">IF(36&lt;='Full Service Example Assump'!$D$13,-AM10,0)</f>
        <v>0</v>
      </c>
      <c r="AN11" s="41" t="n">
        <f aca="false">IF(37&lt;='Full Service Example Assump'!$D$13,-AN10,0)</f>
        <v>0</v>
      </c>
      <c r="AO11" s="41" t="n">
        <f aca="false">IF(38&lt;='Full Service Example Assump'!$D$13,-AO10,0)</f>
        <v>0</v>
      </c>
      <c r="AP11" s="41" t="n">
        <f aca="false">IF(39&lt;='Full Service Example Assump'!$D$13,-AP10,0)</f>
        <v>0</v>
      </c>
      <c r="AQ11" s="41" t="n">
        <f aca="false">IF(40&lt;='Full Service Example Assump'!$D$13,-AQ10,0)</f>
        <v>0</v>
      </c>
      <c r="AR11" s="41" t="n">
        <f aca="false">IF(41&lt;='Full Service Example Assump'!$D$13,-AR10,0)</f>
        <v>0</v>
      </c>
      <c r="AS11" s="41" t="n">
        <f aca="false">IF(42&lt;='Full Service Example Assump'!$D$13,-AS10,0)</f>
        <v>0</v>
      </c>
      <c r="AT11" s="41" t="n">
        <f aca="false">IF(43&lt;='Full Service Example Assump'!$D$13,-AT10,0)</f>
        <v>0</v>
      </c>
      <c r="AU11" s="41" t="n">
        <f aca="false">IF(44&lt;='Full Service Example Assump'!$D$13,-AU10,0)</f>
        <v>0</v>
      </c>
      <c r="AV11" s="41" t="n">
        <f aca="false">IF(45&lt;='Full Service Example Assump'!$D$13,-AV10,0)</f>
        <v>0</v>
      </c>
      <c r="AW11" s="41" t="n">
        <f aca="false">IF(46&lt;='Full Service Example Assump'!$D$13,-AW10,0)</f>
        <v>0</v>
      </c>
      <c r="AX11" s="41" t="n">
        <f aca="false">IF(47&lt;='Full Service Example Assump'!$D$13,-AX10,0)</f>
        <v>0</v>
      </c>
      <c r="AY11" s="41" t="n">
        <f aca="false">IF(48&lt;='Full Service Example Assump'!$D$13,-AY10,0)</f>
        <v>0</v>
      </c>
      <c r="AZ11" s="41" t="n">
        <f aca="false">IF(49&lt;='Full Service Example Assump'!$D$13,-AZ10,0)</f>
        <v>0</v>
      </c>
      <c r="BA11" s="41" t="n">
        <f aca="false">IF(50&lt;='Full Service Example Assump'!$D$13,-BA10,0)</f>
        <v>0</v>
      </c>
      <c r="BB11" s="41" t="n">
        <f aca="false">IF(51&lt;='Full Service Example Assump'!$D$13,-BB10,0)</f>
        <v>0</v>
      </c>
      <c r="BC11" s="41" t="n">
        <f aca="false">IF(52&lt;='Full Service Example Assump'!$D$13,-BC10,0)</f>
        <v>0</v>
      </c>
      <c r="BD11" s="41" t="n">
        <f aca="false">IF(53&lt;='Full Service Example Assump'!$D$13,-BD10,0)</f>
        <v>0</v>
      </c>
      <c r="BE11" s="41" t="n">
        <f aca="false">IF(54&lt;='Full Service Example Assump'!$D$13,-BE10,0)</f>
        <v>0</v>
      </c>
      <c r="BF11" s="41" t="n">
        <f aca="false">IF(55&lt;='Full Service Example Assump'!$D$13,-BF10,0)</f>
        <v>0</v>
      </c>
      <c r="BG11" s="41" t="n">
        <f aca="false">IF(56&lt;='Full Service Example Assump'!$D$13,-BG10,0)</f>
        <v>0</v>
      </c>
      <c r="BH11" s="41" t="n">
        <f aca="false">IF(57&lt;='Full Service Example Assump'!$D$13,-BH10,0)</f>
        <v>0</v>
      </c>
      <c r="BI11" s="41" t="n">
        <f aca="false">IF(58&lt;='Full Service Example Assump'!$D$13,-BI10,0)</f>
        <v>0</v>
      </c>
      <c r="BJ11" s="41" t="n">
        <f aca="false">IF(59&lt;='Full Service Example Assump'!$D$13,-BJ10,0)</f>
        <v>0</v>
      </c>
      <c r="BK11" s="41" t="n">
        <f aca="false">IF(60&lt;='Full Service Example Assump'!$D$13,-BK10,0)</f>
        <v>0</v>
      </c>
      <c r="BL11" s="42" t="n">
        <f aca="false">SUM(D11:BK11)</f>
        <v>-250000</v>
      </c>
    </row>
    <row r="12" customFormat="false" ht="15" hidden="false" customHeight="false" outlineLevel="0" collapsed="false">
      <c r="B12" s="8" t="s">
        <v>84</v>
      </c>
      <c r="C12" s="15"/>
      <c r="D12" s="41" t="n">
        <f aca="false">-'Full Service Example Assump'!$D$9*'Full Service Example Assump'!$D$30</f>
        <v>-100000</v>
      </c>
      <c r="E12" s="41" t="n">
        <f aca="false">0</f>
        <v>0</v>
      </c>
      <c r="F12" s="41" t="n">
        <f aca="false">0</f>
        <v>0</v>
      </c>
      <c r="G12" s="41" t="n">
        <f aca="false">0</f>
        <v>0</v>
      </c>
      <c r="H12" s="41" t="n">
        <f aca="false">0</f>
        <v>0</v>
      </c>
      <c r="I12" s="41" t="n">
        <f aca="false">0</f>
        <v>0</v>
      </c>
      <c r="J12" s="41" t="n">
        <f aca="false">0</f>
        <v>0</v>
      </c>
      <c r="K12" s="41" t="n">
        <f aca="false">0</f>
        <v>0</v>
      </c>
      <c r="L12" s="41" t="n">
        <f aca="false">0</f>
        <v>0</v>
      </c>
      <c r="M12" s="41" t="n">
        <f aca="false">0</f>
        <v>0</v>
      </c>
      <c r="N12" s="41" t="n">
        <f aca="false">0</f>
        <v>0</v>
      </c>
      <c r="O12" s="41" t="n">
        <f aca="false">0</f>
        <v>0</v>
      </c>
      <c r="P12" s="41" t="n">
        <f aca="false">0</f>
        <v>0</v>
      </c>
      <c r="Q12" s="41" t="n">
        <f aca="false">0</f>
        <v>0</v>
      </c>
      <c r="R12" s="41" t="n">
        <f aca="false">0</f>
        <v>0</v>
      </c>
      <c r="S12" s="41" t="n">
        <f aca="false">0</f>
        <v>0</v>
      </c>
      <c r="T12" s="41" t="n">
        <f aca="false">0</f>
        <v>0</v>
      </c>
      <c r="U12" s="41" t="n">
        <f aca="false">0</f>
        <v>0</v>
      </c>
      <c r="V12" s="41" t="n">
        <f aca="false">0</f>
        <v>0</v>
      </c>
      <c r="W12" s="41" t="n">
        <f aca="false">0</f>
        <v>0</v>
      </c>
      <c r="X12" s="41" t="n">
        <f aca="false">0</f>
        <v>0</v>
      </c>
      <c r="Y12" s="41" t="n">
        <f aca="false">0</f>
        <v>0</v>
      </c>
      <c r="Z12" s="41" t="n">
        <f aca="false">0</f>
        <v>0</v>
      </c>
      <c r="AA12" s="41" t="n">
        <f aca="false">0</f>
        <v>0</v>
      </c>
      <c r="AB12" s="41" t="n">
        <f aca="false">0</f>
        <v>0</v>
      </c>
      <c r="AC12" s="41" t="n">
        <f aca="false">0</f>
        <v>0</v>
      </c>
      <c r="AD12" s="41" t="n">
        <f aca="false">0</f>
        <v>0</v>
      </c>
      <c r="AE12" s="41" t="n">
        <f aca="false">0</f>
        <v>0</v>
      </c>
      <c r="AF12" s="41" t="n">
        <f aca="false">0</f>
        <v>0</v>
      </c>
      <c r="AG12" s="41" t="n">
        <f aca="false">0</f>
        <v>0</v>
      </c>
      <c r="AH12" s="41" t="n">
        <f aca="false">0</f>
        <v>0</v>
      </c>
      <c r="AI12" s="41" t="n">
        <f aca="false">0</f>
        <v>0</v>
      </c>
      <c r="AJ12" s="41" t="n">
        <f aca="false">0</f>
        <v>0</v>
      </c>
      <c r="AK12" s="41" t="n">
        <f aca="false">0</f>
        <v>0</v>
      </c>
      <c r="AL12" s="41" t="n">
        <f aca="false">0</f>
        <v>0</v>
      </c>
      <c r="AM12" s="41" t="n">
        <f aca="false">0</f>
        <v>0</v>
      </c>
      <c r="AN12" s="41" t="n">
        <f aca="false">0</f>
        <v>0</v>
      </c>
      <c r="AO12" s="41" t="n">
        <f aca="false">0</f>
        <v>0</v>
      </c>
      <c r="AP12" s="41" t="n">
        <f aca="false">0</f>
        <v>0</v>
      </c>
      <c r="AQ12" s="41" t="n">
        <f aca="false">0</f>
        <v>0</v>
      </c>
      <c r="AR12" s="41" t="n">
        <f aca="false">0</f>
        <v>0</v>
      </c>
      <c r="AS12" s="41" t="n">
        <f aca="false">0</f>
        <v>0</v>
      </c>
      <c r="AT12" s="41" t="n">
        <f aca="false">0</f>
        <v>0</v>
      </c>
      <c r="AU12" s="41" t="n">
        <f aca="false">0</f>
        <v>0</v>
      </c>
      <c r="AV12" s="41" t="n">
        <f aca="false">0</f>
        <v>0</v>
      </c>
      <c r="AW12" s="41" t="n">
        <f aca="false">0</f>
        <v>0</v>
      </c>
      <c r="AX12" s="41" t="n">
        <f aca="false">0</f>
        <v>0</v>
      </c>
      <c r="AY12" s="41" t="n">
        <f aca="false">0</f>
        <v>0</v>
      </c>
      <c r="AZ12" s="41" t="n">
        <f aca="false">0</f>
        <v>0</v>
      </c>
      <c r="BA12" s="41" t="n">
        <f aca="false">0</f>
        <v>0</v>
      </c>
      <c r="BB12" s="41" t="n">
        <f aca="false">0</f>
        <v>0</v>
      </c>
      <c r="BC12" s="41" t="n">
        <f aca="false">0</f>
        <v>0</v>
      </c>
      <c r="BD12" s="41" t="n">
        <f aca="false">0</f>
        <v>0</v>
      </c>
      <c r="BE12" s="41" t="n">
        <f aca="false">0</f>
        <v>0</v>
      </c>
      <c r="BF12" s="41" t="n">
        <f aca="false">0</f>
        <v>0</v>
      </c>
      <c r="BG12" s="41" t="n">
        <f aca="false">0</f>
        <v>0</v>
      </c>
      <c r="BH12" s="41" t="n">
        <f aca="false">0</f>
        <v>0</v>
      </c>
      <c r="BI12" s="41" t="n">
        <f aca="false">0</f>
        <v>0</v>
      </c>
      <c r="BJ12" s="41" t="n">
        <f aca="false">0</f>
        <v>0</v>
      </c>
      <c r="BK12" s="41" t="n">
        <f aca="false">0</f>
        <v>0</v>
      </c>
      <c r="BL12" s="42" t="n">
        <f aca="false">SUM(D12:BK12)</f>
        <v>-100000</v>
      </c>
    </row>
    <row r="13" customFormat="false" ht="15" hidden="false" customHeight="false" outlineLevel="0" collapsed="false">
      <c r="B13" s="43" t="s">
        <v>61</v>
      </c>
      <c r="D13" s="44" t="n">
        <f aca="false">IF(D11&lt;&gt;0,0,D10*'Full Service Example Assump'!$D$19)</f>
        <v>0</v>
      </c>
      <c r="E13" s="44" t="n">
        <f aca="false">IF(E11&lt;&gt;0,0,E10*'Full Service Example Assump'!$D$19)</f>
        <v>0</v>
      </c>
      <c r="F13" s="44" t="n">
        <f aca="false">IF(F11&lt;&gt;0,0,F10*'Full Service Example Assump'!$D$19)</f>
        <v>0</v>
      </c>
      <c r="G13" s="44" t="n">
        <f aca="false">IF(G11&lt;&gt;0,0,G10*'Full Service Example Assump'!$D$19)</f>
        <v>2916.66666666667</v>
      </c>
      <c r="H13" s="44" t="n">
        <f aca="false">IF(H11&lt;&gt;0,0,H10*'Full Service Example Assump'!$D$19)</f>
        <v>2916.66666666667</v>
      </c>
      <c r="I13" s="44" t="n">
        <f aca="false">IF(I11&lt;&gt;0,0,I10*'Full Service Example Assump'!$D$19)</f>
        <v>2916.66666666667</v>
      </c>
      <c r="J13" s="44" t="n">
        <f aca="false">IF(J11&lt;&gt;0,0,J10*'Full Service Example Assump'!$D$19)</f>
        <v>2916.66666666667</v>
      </c>
      <c r="K13" s="44" t="n">
        <f aca="false">IF(K11&lt;&gt;0,0,K10*'Full Service Example Assump'!$D$19)</f>
        <v>2916.66666666667</v>
      </c>
      <c r="L13" s="44" t="n">
        <f aca="false">IF(L11&lt;&gt;0,0,L10*'Full Service Example Assump'!$D$19)</f>
        <v>2916.66666666667</v>
      </c>
      <c r="M13" s="44" t="n">
        <f aca="false">IF(M11&lt;&gt;0,0,M10*'Full Service Example Assump'!$D$19)</f>
        <v>2916.66666666667</v>
      </c>
      <c r="N13" s="44" t="n">
        <f aca="false">IF(N11&lt;&gt;0,0,N10*'Full Service Example Assump'!$D$19)</f>
        <v>2916.66666666667</v>
      </c>
      <c r="O13" s="44" t="n">
        <f aca="false">IF(O11&lt;&gt;0,0,O10*'Full Service Example Assump'!$D$19)</f>
        <v>2916.66666666667</v>
      </c>
      <c r="P13" s="44" t="n">
        <f aca="false">IF(P11&lt;&gt;0,0,P10*'Full Service Example Assump'!$D$19)</f>
        <v>3004.16666666667</v>
      </c>
      <c r="Q13" s="44" t="n">
        <f aca="false">IF(Q11&lt;&gt;0,0,Q10*'Full Service Example Assump'!$D$19)</f>
        <v>3004.16666666667</v>
      </c>
      <c r="R13" s="44" t="n">
        <f aca="false">IF(R11&lt;&gt;0,0,R10*'Full Service Example Assump'!$D$19)</f>
        <v>3004.16666666667</v>
      </c>
      <c r="S13" s="44" t="n">
        <f aca="false">IF(S11&lt;&gt;0,0,S10*'Full Service Example Assump'!$D$19)</f>
        <v>3004.16666666667</v>
      </c>
      <c r="T13" s="44" t="n">
        <f aca="false">IF(T11&lt;&gt;0,0,T10*'Full Service Example Assump'!$D$19)</f>
        <v>3004.16666666667</v>
      </c>
      <c r="U13" s="44" t="n">
        <f aca="false">IF(U11&lt;&gt;0,0,U10*'Full Service Example Assump'!$D$19)</f>
        <v>3004.16666666667</v>
      </c>
      <c r="V13" s="44" t="n">
        <f aca="false">IF(V11&lt;&gt;0,0,V10*'Full Service Example Assump'!$D$19)</f>
        <v>3004.16666666667</v>
      </c>
      <c r="W13" s="44" t="n">
        <f aca="false">IF(W11&lt;&gt;0,0,W10*'Full Service Example Assump'!$D$19)</f>
        <v>3004.16666666667</v>
      </c>
      <c r="X13" s="44" t="n">
        <f aca="false">IF(X11&lt;&gt;0,0,X10*'Full Service Example Assump'!$D$19)</f>
        <v>3004.16666666667</v>
      </c>
      <c r="Y13" s="44" t="n">
        <f aca="false">IF(Y11&lt;&gt;0,0,Y10*'Full Service Example Assump'!$D$19)</f>
        <v>3004.16666666667</v>
      </c>
      <c r="Z13" s="44" t="n">
        <f aca="false">IF(Z11&lt;&gt;0,0,Z10*'Full Service Example Assump'!$D$19)</f>
        <v>3004.16666666667</v>
      </c>
      <c r="AA13" s="44" t="n">
        <f aca="false">IF(AA11&lt;&gt;0,0,AA10*'Full Service Example Assump'!$D$19)</f>
        <v>3004.16666666667</v>
      </c>
      <c r="AB13" s="44" t="n">
        <f aca="false">IF(AB11&lt;&gt;0,0,AB10*'Full Service Example Assump'!$D$19)</f>
        <v>3094.29166666667</v>
      </c>
      <c r="AC13" s="44" t="n">
        <f aca="false">IF(AC11&lt;&gt;0,0,AC10*'Full Service Example Assump'!$D$19)</f>
        <v>3094.29166666667</v>
      </c>
      <c r="AD13" s="44" t="n">
        <f aca="false">IF(AD11&lt;&gt;0,0,AD10*'Full Service Example Assump'!$D$19)</f>
        <v>3094.29166666667</v>
      </c>
      <c r="AE13" s="44" t="n">
        <f aca="false">IF(AE11&lt;&gt;0,0,AE10*'Full Service Example Assump'!$D$19)</f>
        <v>3094.29166666667</v>
      </c>
      <c r="AF13" s="44" t="n">
        <f aca="false">IF(AF11&lt;&gt;0,0,AF10*'Full Service Example Assump'!$D$19)</f>
        <v>3094.29166666667</v>
      </c>
      <c r="AG13" s="44" t="n">
        <f aca="false">IF(AG11&lt;&gt;0,0,AG10*'Full Service Example Assump'!$D$19)</f>
        <v>3094.29166666667</v>
      </c>
      <c r="AH13" s="44" t="n">
        <f aca="false">IF(AH11&lt;&gt;0,0,AH10*'Full Service Example Assump'!$D$19)</f>
        <v>3094.29166666667</v>
      </c>
      <c r="AI13" s="44" t="n">
        <f aca="false">IF(AI11&lt;&gt;0,0,AI10*'Full Service Example Assump'!$D$19)</f>
        <v>3094.29166666667</v>
      </c>
      <c r="AJ13" s="44" t="n">
        <f aca="false">IF(AJ11&lt;&gt;0,0,AJ10*'Full Service Example Assump'!$D$19)</f>
        <v>3094.29166666667</v>
      </c>
      <c r="AK13" s="44" t="n">
        <f aca="false">IF(AK11&lt;&gt;0,0,AK10*'Full Service Example Assump'!$D$19)</f>
        <v>3094.29166666667</v>
      </c>
      <c r="AL13" s="44" t="n">
        <f aca="false">IF(AL11&lt;&gt;0,0,AL10*'Full Service Example Assump'!$D$19)</f>
        <v>3094.29166666667</v>
      </c>
      <c r="AM13" s="44" t="n">
        <f aca="false">IF(AM11&lt;&gt;0,0,AM10*'Full Service Example Assump'!$D$19)</f>
        <v>3094.29166666667</v>
      </c>
      <c r="AN13" s="44" t="n">
        <f aca="false">IF(AN11&lt;&gt;0,0,AN10*'Full Service Example Assump'!$D$19)</f>
        <v>3187.12041666667</v>
      </c>
      <c r="AO13" s="44" t="n">
        <f aca="false">IF(AO11&lt;&gt;0,0,AO10*'Full Service Example Assump'!$D$19)</f>
        <v>3187.12041666667</v>
      </c>
      <c r="AP13" s="44" t="n">
        <f aca="false">IF(AP11&lt;&gt;0,0,AP10*'Full Service Example Assump'!$D$19)</f>
        <v>3187.12041666667</v>
      </c>
      <c r="AQ13" s="44" t="n">
        <f aca="false">IF(AQ11&lt;&gt;0,0,AQ10*'Full Service Example Assump'!$D$19)</f>
        <v>3187.12041666667</v>
      </c>
      <c r="AR13" s="44" t="n">
        <f aca="false">IF(AR11&lt;&gt;0,0,AR10*'Full Service Example Assump'!$D$19)</f>
        <v>3187.12041666667</v>
      </c>
      <c r="AS13" s="44" t="n">
        <f aca="false">IF(AS11&lt;&gt;0,0,AS10*'Full Service Example Assump'!$D$19)</f>
        <v>3187.12041666667</v>
      </c>
      <c r="AT13" s="44" t="n">
        <f aca="false">IF(AT11&lt;&gt;0,0,AT10*'Full Service Example Assump'!$D$19)</f>
        <v>3187.12041666667</v>
      </c>
      <c r="AU13" s="44" t="n">
        <f aca="false">IF(AU11&lt;&gt;0,0,AU10*'Full Service Example Assump'!$D$19)</f>
        <v>3187.12041666667</v>
      </c>
      <c r="AV13" s="44" t="n">
        <f aca="false">IF(AV11&lt;&gt;0,0,AV10*'Full Service Example Assump'!$D$19)</f>
        <v>3187.12041666667</v>
      </c>
      <c r="AW13" s="44" t="n">
        <f aca="false">IF(AW11&lt;&gt;0,0,AW10*'Full Service Example Assump'!$D$19)</f>
        <v>3187.12041666667</v>
      </c>
      <c r="AX13" s="44" t="n">
        <f aca="false">IF(AX11&lt;&gt;0,0,AX10*'Full Service Example Assump'!$D$19)</f>
        <v>3187.12041666667</v>
      </c>
      <c r="AY13" s="44" t="n">
        <f aca="false">IF(AY11&lt;&gt;0,0,AY10*'Full Service Example Assump'!$D$19)</f>
        <v>3187.12041666667</v>
      </c>
      <c r="AZ13" s="44" t="n">
        <f aca="false">IF(AZ11&lt;&gt;0,0,AZ10*'Full Service Example Assump'!$D$19)</f>
        <v>3282.73402916667</v>
      </c>
      <c r="BA13" s="44" t="n">
        <f aca="false">IF(BA11&lt;&gt;0,0,BA10*'Full Service Example Assump'!$D$19)</f>
        <v>3282.73402916667</v>
      </c>
      <c r="BB13" s="44" t="n">
        <f aca="false">IF(BB11&lt;&gt;0,0,BB10*'Full Service Example Assump'!$D$19)</f>
        <v>3282.73402916667</v>
      </c>
      <c r="BC13" s="44" t="n">
        <f aca="false">IF(BC11&lt;&gt;0,0,BC10*'Full Service Example Assump'!$D$19)</f>
        <v>3282.73402916667</v>
      </c>
      <c r="BD13" s="44" t="n">
        <f aca="false">IF(BD11&lt;&gt;0,0,BD10*'Full Service Example Assump'!$D$19)</f>
        <v>3282.73402916667</v>
      </c>
      <c r="BE13" s="44" t="n">
        <f aca="false">IF(BE11&lt;&gt;0,0,BE10*'Full Service Example Assump'!$D$19)</f>
        <v>3282.73402916667</v>
      </c>
      <c r="BF13" s="44" t="n">
        <f aca="false">IF(BF11&lt;&gt;0,0,BF10*'Full Service Example Assump'!$D$19)</f>
        <v>3282.73402916667</v>
      </c>
      <c r="BG13" s="44" t="n">
        <f aca="false">IF(BG11&lt;&gt;0,0,BG10*'Full Service Example Assump'!$D$19)</f>
        <v>3282.73402916667</v>
      </c>
      <c r="BH13" s="44" t="n">
        <f aca="false">IF(BH11&lt;&gt;0,0,BH10*'Full Service Example Assump'!$D$19)</f>
        <v>3282.73402916667</v>
      </c>
      <c r="BI13" s="44" t="n">
        <f aca="false">IF(BI11&lt;&gt;0,0,BI10*'Full Service Example Assump'!$D$19)</f>
        <v>3282.73402916667</v>
      </c>
      <c r="BJ13" s="44" t="n">
        <f aca="false">IF(BJ11&lt;&gt;0,0,BJ10*'Full Service Example Assump'!$D$19)</f>
        <v>3282.73402916667</v>
      </c>
      <c r="BK13" s="44" t="n">
        <f aca="false">IF(BK11&lt;&gt;0,0,BK10*'Full Service Example Assump'!$D$19)</f>
        <v>3282.73402916667</v>
      </c>
      <c r="BL13" s="45" t="n">
        <f aca="false">SUM(D13:BK13)</f>
        <v>177069.75335</v>
      </c>
    </row>
    <row r="14" customFormat="false" ht="15" hidden="false" customHeight="false" outlineLevel="0" collapsed="false">
      <c r="B14" s="17" t="s">
        <v>85</v>
      </c>
      <c r="C14" s="23"/>
      <c r="D14" s="46" t="n">
        <f aca="false">D10+D11+D12+D13</f>
        <v>-100000</v>
      </c>
      <c r="E14" s="46" t="n">
        <f aca="false">E10+E11+E12+E13</f>
        <v>0</v>
      </c>
      <c r="F14" s="46" t="n">
        <f aca="false">F10+F11+F12+F13</f>
        <v>0</v>
      </c>
      <c r="G14" s="46" t="n">
        <f aca="false">G10+G11+G12+G13</f>
        <v>86250</v>
      </c>
      <c r="H14" s="46" t="n">
        <f aca="false">H10+H11+H12+H13</f>
        <v>86250</v>
      </c>
      <c r="I14" s="46" t="n">
        <f aca="false">I10+I11+I12+I13</f>
        <v>86250</v>
      </c>
      <c r="J14" s="46" t="n">
        <f aca="false">J10+J11+J12+J13</f>
        <v>86250</v>
      </c>
      <c r="K14" s="46" t="n">
        <f aca="false">K10+K11+K12+K13</f>
        <v>86250</v>
      </c>
      <c r="L14" s="46" t="n">
        <f aca="false">L10+L11+L12+L13</f>
        <v>86250</v>
      </c>
      <c r="M14" s="46" t="n">
        <f aca="false">M10+M11+M12+M13</f>
        <v>86250</v>
      </c>
      <c r="N14" s="46" t="n">
        <f aca="false">N10+N11+N12+N13</f>
        <v>86250</v>
      </c>
      <c r="O14" s="46" t="n">
        <f aca="false">O10+O11+O12+O13</f>
        <v>86250</v>
      </c>
      <c r="P14" s="46" t="n">
        <f aca="false">P10+P11+P12+P13</f>
        <v>88837.5</v>
      </c>
      <c r="Q14" s="46" t="n">
        <f aca="false">Q10+Q11+Q12+Q13</f>
        <v>88837.5</v>
      </c>
      <c r="R14" s="46" t="n">
        <f aca="false">R10+R11+R12+R13</f>
        <v>88837.5</v>
      </c>
      <c r="S14" s="46" t="n">
        <f aca="false">S10+S11+S12+S13</f>
        <v>88837.5</v>
      </c>
      <c r="T14" s="46" t="n">
        <f aca="false">T10+T11+T12+T13</f>
        <v>88837.5</v>
      </c>
      <c r="U14" s="46" t="n">
        <f aca="false">U10+U11+U12+U13</f>
        <v>88837.5</v>
      </c>
      <c r="V14" s="46" t="n">
        <f aca="false">V10+V11+V12+V13</f>
        <v>88837.5</v>
      </c>
      <c r="W14" s="46" t="n">
        <f aca="false">W10+W11+W12+W13</f>
        <v>88837.5</v>
      </c>
      <c r="X14" s="46" t="n">
        <f aca="false">X10+X11+X12+X13</f>
        <v>88837.5</v>
      </c>
      <c r="Y14" s="46" t="n">
        <f aca="false">Y10+Y11+Y12+Y13</f>
        <v>88837.5</v>
      </c>
      <c r="Z14" s="46" t="n">
        <f aca="false">Z10+Z11+Z12+Z13</f>
        <v>88837.5</v>
      </c>
      <c r="AA14" s="46" t="n">
        <f aca="false">AA10+AA11+AA12+AA13</f>
        <v>88837.5</v>
      </c>
      <c r="AB14" s="46" t="n">
        <f aca="false">AB10+AB11+AB12+AB13</f>
        <v>91502.625</v>
      </c>
      <c r="AC14" s="46" t="n">
        <f aca="false">AC10+AC11+AC12+AC13</f>
        <v>91502.625</v>
      </c>
      <c r="AD14" s="46" t="n">
        <f aca="false">AD10+AD11+AD12+AD13</f>
        <v>91502.625</v>
      </c>
      <c r="AE14" s="46" t="n">
        <f aca="false">AE10+AE11+AE12+AE13</f>
        <v>91502.625</v>
      </c>
      <c r="AF14" s="46" t="n">
        <f aca="false">AF10+AF11+AF12+AF13</f>
        <v>91502.625</v>
      </c>
      <c r="AG14" s="46" t="n">
        <f aca="false">AG10+AG11+AG12+AG13</f>
        <v>91502.625</v>
      </c>
      <c r="AH14" s="46" t="n">
        <f aca="false">AH10+AH11+AH12+AH13</f>
        <v>91502.625</v>
      </c>
      <c r="AI14" s="46" t="n">
        <f aca="false">AI10+AI11+AI12+AI13</f>
        <v>91502.625</v>
      </c>
      <c r="AJ14" s="46" t="n">
        <f aca="false">AJ10+AJ11+AJ12+AJ13</f>
        <v>91502.625</v>
      </c>
      <c r="AK14" s="46" t="n">
        <f aca="false">AK10+AK11+AK12+AK13</f>
        <v>91502.625</v>
      </c>
      <c r="AL14" s="46" t="n">
        <f aca="false">AL10+AL11+AL12+AL13</f>
        <v>91502.625</v>
      </c>
      <c r="AM14" s="46" t="n">
        <f aca="false">AM10+AM11+AM12+AM13</f>
        <v>91502.625</v>
      </c>
      <c r="AN14" s="46" t="n">
        <f aca="false">AN10+AN11+AN12+AN13</f>
        <v>94247.70375</v>
      </c>
      <c r="AO14" s="46" t="n">
        <f aca="false">AO10+AO11+AO12+AO13</f>
        <v>94247.70375</v>
      </c>
      <c r="AP14" s="46" t="n">
        <f aca="false">AP10+AP11+AP12+AP13</f>
        <v>94247.70375</v>
      </c>
      <c r="AQ14" s="46" t="n">
        <f aca="false">AQ10+AQ11+AQ12+AQ13</f>
        <v>94247.70375</v>
      </c>
      <c r="AR14" s="46" t="n">
        <f aca="false">AR10+AR11+AR12+AR13</f>
        <v>94247.70375</v>
      </c>
      <c r="AS14" s="46" t="n">
        <f aca="false">AS10+AS11+AS12+AS13</f>
        <v>94247.70375</v>
      </c>
      <c r="AT14" s="46" t="n">
        <f aca="false">AT10+AT11+AT12+AT13</f>
        <v>94247.70375</v>
      </c>
      <c r="AU14" s="46" t="n">
        <f aca="false">AU10+AU11+AU12+AU13</f>
        <v>94247.70375</v>
      </c>
      <c r="AV14" s="46" t="n">
        <f aca="false">AV10+AV11+AV12+AV13</f>
        <v>94247.70375</v>
      </c>
      <c r="AW14" s="46" t="n">
        <f aca="false">AW10+AW11+AW12+AW13</f>
        <v>94247.70375</v>
      </c>
      <c r="AX14" s="46" t="n">
        <f aca="false">AX10+AX11+AX12+AX13</f>
        <v>94247.70375</v>
      </c>
      <c r="AY14" s="46" t="n">
        <f aca="false">AY10+AY11+AY12+AY13</f>
        <v>94247.70375</v>
      </c>
      <c r="AZ14" s="46" t="n">
        <f aca="false">AZ10+AZ11+AZ12+AZ13</f>
        <v>97075.1348625</v>
      </c>
      <c r="BA14" s="46" t="n">
        <f aca="false">BA10+BA11+BA12+BA13</f>
        <v>97075.1348625</v>
      </c>
      <c r="BB14" s="46" t="n">
        <f aca="false">BB10+BB11+BB12+BB13</f>
        <v>97075.1348625</v>
      </c>
      <c r="BC14" s="46" t="n">
        <f aca="false">BC10+BC11+BC12+BC13</f>
        <v>97075.1348625</v>
      </c>
      <c r="BD14" s="46" t="n">
        <f aca="false">BD10+BD11+BD12+BD13</f>
        <v>97075.1348625</v>
      </c>
      <c r="BE14" s="46" t="n">
        <f aca="false">BE10+BE11+BE12+BE13</f>
        <v>97075.1348625</v>
      </c>
      <c r="BF14" s="46" t="n">
        <f aca="false">BF10+BF11+BF12+BF13</f>
        <v>97075.1348625</v>
      </c>
      <c r="BG14" s="46" t="n">
        <f aca="false">BG10+BG11+BG12+BG13</f>
        <v>97075.1348625</v>
      </c>
      <c r="BH14" s="46" t="n">
        <f aca="false">BH10+BH11+BH12+BH13</f>
        <v>97075.1348625</v>
      </c>
      <c r="BI14" s="46" t="n">
        <f aca="false">BI10+BI11+BI12+BI13</f>
        <v>97075.1348625</v>
      </c>
      <c r="BJ14" s="46" t="n">
        <f aca="false">BJ10+BJ11+BJ12+BJ13</f>
        <v>97075.1348625</v>
      </c>
      <c r="BK14" s="46" t="n">
        <f aca="false">BK10+BK11+BK12+BK13</f>
        <v>97075.1348625</v>
      </c>
      <c r="BL14" s="47" t="n">
        <f aca="false">SUM(D14:BK14)</f>
        <v>5136205.56335</v>
      </c>
    </row>
    <row r="15" customFormat="false" ht="18" hidden="false" customHeight="true" outlineLevel="0" collapsed="false">
      <c r="B15" s="6" t="s">
        <v>86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</row>
    <row r="16" customFormat="false" ht="15" hidden="false" customHeight="false" outlineLevel="0" collapsed="false">
      <c r="B16" s="8" t="s">
        <v>87</v>
      </c>
      <c r="C16" s="15"/>
      <c r="D16" s="41" t="n">
        <f aca="false">IF(D7&lt;'Full Service Example Assump'!$D$25,0,'Full Service Example Assump'!$D$9*'Full Service Example Assump'!$D$23*((1+'Full Service Example Assump'!$D$24)^(YEAR(D7)-'Full Service Example Assump'!$D$26)-1)/12)</f>
        <v>0</v>
      </c>
      <c r="E16" s="41" t="n">
        <f aca="false">IF(E7&lt;'Full Service Example Assump'!$D$25,0,'Full Service Example Assump'!$D$9*'Full Service Example Assump'!$D$23*((1+'Full Service Example Assump'!$D$24)^(YEAR(E7)-'Full Service Example Assump'!$D$26)-1)/12)</f>
        <v>0</v>
      </c>
      <c r="F16" s="41" t="n">
        <f aca="false">IF(F7&lt;'Full Service Example Assump'!$D$25,0,'Full Service Example Assump'!$D$9*'Full Service Example Assump'!$D$23*((1+'Full Service Example Assump'!$D$24)^(YEAR(F7)-'Full Service Example Assump'!$D$26)-1)/12)</f>
        <v>0</v>
      </c>
      <c r="G16" s="41" t="n">
        <f aca="false">IF(G7&lt;'Full Service Example Assump'!$D$25,0,'Full Service Example Assump'!$D$9*'Full Service Example Assump'!$D$23*((1+'Full Service Example Assump'!$D$24)^(YEAR(G7)-'Full Service Example Assump'!$D$26)-1)/12)</f>
        <v>0</v>
      </c>
      <c r="H16" s="41" t="n">
        <f aca="false">IF(H7&lt;'Full Service Example Assump'!$D$25,0,'Full Service Example Assump'!$D$9*'Full Service Example Assump'!$D$23*((1+'Full Service Example Assump'!$D$24)^(YEAR(H7)-'Full Service Example Assump'!$D$26)-1)/12)</f>
        <v>0</v>
      </c>
      <c r="I16" s="41" t="n">
        <f aca="false">IF(I7&lt;'Full Service Example Assump'!$D$25,0,'Full Service Example Assump'!$D$9*'Full Service Example Assump'!$D$23*((1+'Full Service Example Assump'!$D$24)^(YEAR(I7)-'Full Service Example Assump'!$D$26)-1)/12)</f>
        <v>0</v>
      </c>
      <c r="J16" s="41" t="n">
        <f aca="false">IF(J7&lt;'Full Service Example Assump'!$D$25,0,'Full Service Example Assump'!$D$9*'Full Service Example Assump'!$D$23*((1+'Full Service Example Assump'!$D$24)^(YEAR(J7)-'Full Service Example Assump'!$D$26)-1)/12)</f>
        <v>0</v>
      </c>
      <c r="K16" s="41" t="n">
        <f aca="false">IF(K7&lt;'Full Service Example Assump'!$D$25,0,'Full Service Example Assump'!$D$9*'Full Service Example Assump'!$D$23*((1+'Full Service Example Assump'!$D$24)^(YEAR(K7)-'Full Service Example Assump'!$D$26)-1)/12)</f>
        <v>0</v>
      </c>
      <c r="L16" s="41" t="n">
        <f aca="false">IF(L7&lt;'Full Service Example Assump'!$D$25,0,'Full Service Example Assump'!$D$9*'Full Service Example Assump'!$D$23*((1+'Full Service Example Assump'!$D$24)^(YEAR(L7)-'Full Service Example Assump'!$D$26)-1)/12)</f>
        <v>0</v>
      </c>
      <c r="M16" s="41" t="n">
        <f aca="false">IF(M7&lt;'Full Service Example Assump'!$D$25,0,'Full Service Example Assump'!$D$9*'Full Service Example Assump'!$D$23*((1+'Full Service Example Assump'!$D$24)^(YEAR(M7)-'Full Service Example Assump'!$D$26)-1)/12)</f>
        <v>0</v>
      </c>
      <c r="N16" s="41" t="n">
        <f aca="false">IF(N7&lt;'Full Service Example Assump'!$D$25,0,'Full Service Example Assump'!$D$9*'Full Service Example Assump'!$D$23*((1+'Full Service Example Assump'!$D$24)^(YEAR(N7)-'Full Service Example Assump'!$D$26)-1)/12)</f>
        <v>0</v>
      </c>
      <c r="O16" s="41" t="n">
        <f aca="false">IF(O7&lt;'Full Service Example Assump'!$D$25,0,'Full Service Example Assump'!$D$9*'Full Service Example Assump'!$D$23*((1+'Full Service Example Assump'!$D$24)^(YEAR(O7)-'Full Service Example Assump'!$D$26)-1)/12)</f>
        <v>0</v>
      </c>
      <c r="P16" s="41" t="n">
        <f aca="false">IF(P7&lt;'Full Service Example Assump'!$D$25,0,'Full Service Example Assump'!$D$9*'Full Service Example Assump'!$D$23*((1+'Full Service Example Assump'!$D$24)^(YEAR(P7)-'Full Service Example Assump'!$D$26)-1)/12)</f>
        <v>833.333333333334</v>
      </c>
      <c r="Q16" s="41" t="n">
        <f aca="false">IF(Q7&lt;'Full Service Example Assump'!$D$25,0,'Full Service Example Assump'!$D$9*'Full Service Example Assump'!$D$23*((1+'Full Service Example Assump'!$D$24)^(YEAR(Q7)-'Full Service Example Assump'!$D$26)-1)/12)</f>
        <v>833.333333333334</v>
      </c>
      <c r="R16" s="41" t="n">
        <f aca="false">IF(R7&lt;'Full Service Example Assump'!$D$25,0,'Full Service Example Assump'!$D$9*'Full Service Example Assump'!$D$23*((1+'Full Service Example Assump'!$D$24)^(YEAR(R7)-'Full Service Example Assump'!$D$26)-1)/12)</f>
        <v>833.333333333334</v>
      </c>
      <c r="S16" s="41" t="n">
        <f aca="false">IF(S7&lt;'Full Service Example Assump'!$D$25,0,'Full Service Example Assump'!$D$9*'Full Service Example Assump'!$D$23*((1+'Full Service Example Assump'!$D$24)^(YEAR(S7)-'Full Service Example Assump'!$D$26)-1)/12)</f>
        <v>833.333333333334</v>
      </c>
      <c r="T16" s="41" t="n">
        <f aca="false">IF(T7&lt;'Full Service Example Assump'!$D$25,0,'Full Service Example Assump'!$D$9*'Full Service Example Assump'!$D$23*((1+'Full Service Example Assump'!$D$24)^(YEAR(T7)-'Full Service Example Assump'!$D$26)-1)/12)</f>
        <v>833.333333333334</v>
      </c>
      <c r="U16" s="41" t="n">
        <f aca="false">IF(U7&lt;'Full Service Example Assump'!$D$25,0,'Full Service Example Assump'!$D$9*'Full Service Example Assump'!$D$23*((1+'Full Service Example Assump'!$D$24)^(YEAR(U7)-'Full Service Example Assump'!$D$26)-1)/12)</f>
        <v>833.333333333334</v>
      </c>
      <c r="V16" s="41" t="n">
        <f aca="false">IF(V7&lt;'Full Service Example Assump'!$D$25,0,'Full Service Example Assump'!$D$9*'Full Service Example Assump'!$D$23*((1+'Full Service Example Assump'!$D$24)^(YEAR(V7)-'Full Service Example Assump'!$D$26)-1)/12)</f>
        <v>833.333333333334</v>
      </c>
      <c r="W16" s="41" t="n">
        <f aca="false">IF(W7&lt;'Full Service Example Assump'!$D$25,0,'Full Service Example Assump'!$D$9*'Full Service Example Assump'!$D$23*((1+'Full Service Example Assump'!$D$24)^(YEAR(W7)-'Full Service Example Assump'!$D$26)-1)/12)</f>
        <v>833.333333333334</v>
      </c>
      <c r="X16" s="41" t="n">
        <f aca="false">IF(X7&lt;'Full Service Example Assump'!$D$25,0,'Full Service Example Assump'!$D$9*'Full Service Example Assump'!$D$23*((1+'Full Service Example Assump'!$D$24)^(YEAR(X7)-'Full Service Example Assump'!$D$26)-1)/12)</f>
        <v>833.333333333334</v>
      </c>
      <c r="Y16" s="41" t="n">
        <f aca="false">IF(Y7&lt;'Full Service Example Assump'!$D$25,0,'Full Service Example Assump'!$D$9*'Full Service Example Assump'!$D$23*((1+'Full Service Example Assump'!$D$24)^(YEAR(Y7)-'Full Service Example Assump'!$D$26)-1)/12)</f>
        <v>833.333333333334</v>
      </c>
      <c r="Z16" s="41" t="n">
        <f aca="false">IF(Z7&lt;'Full Service Example Assump'!$D$25,0,'Full Service Example Assump'!$D$9*'Full Service Example Assump'!$D$23*((1+'Full Service Example Assump'!$D$24)^(YEAR(Z7)-'Full Service Example Assump'!$D$26)-1)/12)</f>
        <v>833.333333333334</v>
      </c>
      <c r="AA16" s="41" t="n">
        <f aca="false">IF(AA7&lt;'Full Service Example Assump'!$D$25,0,'Full Service Example Assump'!$D$9*'Full Service Example Assump'!$D$23*((1+'Full Service Example Assump'!$D$24)^(YEAR(AA7)-'Full Service Example Assump'!$D$26)-1)/12)</f>
        <v>833.333333333334</v>
      </c>
      <c r="AB16" s="41" t="n">
        <f aca="false">IF(AB7&lt;'Full Service Example Assump'!$D$25,0,'Full Service Example Assump'!$D$9*'Full Service Example Assump'!$D$23*((1+'Full Service Example Assump'!$D$24)^(YEAR(AB7)-'Full Service Example Assump'!$D$26)-1)/12)</f>
        <v>1700</v>
      </c>
      <c r="AC16" s="41" t="n">
        <f aca="false">IF(AC7&lt;'Full Service Example Assump'!$D$25,0,'Full Service Example Assump'!$D$9*'Full Service Example Assump'!$D$23*((1+'Full Service Example Assump'!$D$24)^(YEAR(AC7)-'Full Service Example Assump'!$D$26)-1)/12)</f>
        <v>1700</v>
      </c>
      <c r="AD16" s="41" t="n">
        <f aca="false">IF(AD7&lt;'Full Service Example Assump'!$D$25,0,'Full Service Example Assump'!$D$9*'Full Service Example Assump'!$D$23*((1+'Full Service Example Assump'!$D$24)^(YEAR(AD7)-'Full Service Example Assump'!$D$26)-1)/12)</f>
        <v>1700</v>
      </c>
      <c r="AE16" s="41" t="n">
        <f aca="false">IF(AE7&lt;'Full Service Example Assump'!$D$25,0,'Full Service Example Assump'!$D$9*'Full Service Example Assump'!$D$23*((1+'Full Service Example Assump'!$D$24)^(YEAR(AE7)-'Full Service Example Assump'!$D$26)-1)/12)</f>
        <v>1700</v>
      </c>
      <c r="AF16" s="41" t="n">
        <f aca="false">IF(AF7&lt;'Full Service Example Assump'!$D$25,0,'Full Service Example Assump'!$D$9*'Full Service Example Assump'!$D$23*((1+'Full Service Example Assump'!$D$24)^(YEAR(AF7)-'Full Service Example Assump'!$D$26)-1)/12)</f>
        <v>1700</v>
      </c>
      <c r="AG16" s="41" t="n">
        <f aca="false">IF(AG7&lt;'Full Service Example Assump'!$D$25,0,'Full Service Example Assump'!$D$9*'Full Service Example Assump'!$D$23*((1+'Full Service Example Assump'!$D$24)^(YEAR(AG7)-'Full Service Example Assump'!$D$26)-1)/12)</f>
        <v>1700</v>
      </c>
      <c r="AH16" s="41" t="n">
        <f aca="false">IF(AH7&lt;'Full Service Example Assump'!$D$25,0,'Full Service Example Assump'!$D$9*'Full Service Example Assump'!$D$23*((1+'Full Service Example Assump'!$D$24)^(YEAR(AH7)-'Full Service Example Assump'!$D$26)-1)/12)</f>
        <v>1700</v>
      </c>
      <c r="AI16" s="41" t="n">
        <f aca="false">IF(AI7&lt;'Full Service Example Assump'!$D$25,0,'Full Service Example Assump'!$D$9*'Full Service Example Assump'!$D$23*((1+'Full Service Example Assump'!$D$24)^(YEAR(AI7)-'Full Service Example Assump'!$D$26)-1)/12)</f>
        <v>1700</v>
      </c>
      <c r="AJ16" s="41" t="n">
        <f aca="false">IF(AJ7&lt;'Full Service Example Assump'!$D$25,0,'Full Service Example Assump'!$D$9*'Full Service Example Assump'!$D$23*((1+'Full Service Example Assump'!$D$24)^(YEAR(AJ7)-'Full Service Example Assump'!$D$26)-1)/12)</f>
        <v>1700</v>
      </c>
      <c r="AK16" s="41" t="n">
        <f aca="false">IF(AK7&lt;'Full Service Example Assump'!$D$25,0,'Full Service Example Assump'!$D$9*'Full Service Example Assump'!$D$23*((1+'Full Service Example Assump'!$D$24)^(YEAR(AK7)-'Full Service Example Assump'!$D$26)-1)/12)</f>
        <v>1700</v>
      </c>
      <c r="AL16" s="41" t="n">
        <f aca="false">IF(AL7&lt;'Full Service Example Assump'!$D$25,0,'Full Service Example Assump'!$D$9*'Full Service Example Assump'!$D$23*((1+'Full Service Example Assump'!$D$24)^(YEAR(AL7)-'Full Service Example Assump'!$D$26)-1)/12)</f>
        <v>1700</v>
      </c>
      <c r="AM16" s="41" t="n">
        <f aca="false">IF(AM7&lt;'Full Service Example Assump'!$D$25,0,'Full Service Example Assump'!$D$9*'Full Service Example Assump'!$D$23*((1+'Full Service Example Assump'!$D$24)^(YEAR(AM7)-'Full Service Example Assump'!$D$26)-1)/12)</f>
        <v>1700</v>
      </c>
      <c r="AN16" s="41" t="n">
        <f aca="false">IF(AN7&lt;'Full Service Example Assump'!$D$25,0,'Full Service Example Assump'!$D$9*'Full Service Example Assump'!$D$23*((1+'Full Service Example Assump'!$D$24)^(YEAR(AN7)-'Full Service Example Assump'!$D$26)-1)/12)</f>
        <v>2601.33333333334</v>
      </c>
      <c r="AO16" s="41" t="n">
        <f aca="false">IF(AO7&lt;'Full Service Example Assump'!$D$25,0,'Full Service Example Assump'!$D$9*'Full Service Example Assump'!$D$23*((1+'Full Service Example Assump'!$D$24)^(YEAR(AO7)-'Full Service Example Assump'!$D$26)-1)/12)</f>
        <v>2601.33333333334</v>
      </c>
      <c r="AP16" s="41" t="n">
        <f aca="false">IF(AP7&lt;'Full Service Example Assump'!$D$25,0,'Full Service Example Assump'!$D$9*'Full Service Example Assump'!$D$23*((1+'Full Service Example Assump'!$D$24)^(YEAR(AP7)-'Full Service Example Assump'!$D$26)-1)/12)</f>
        <v>2601.33333333334</v>
      </c>
      <c r="AQ16" s="41" t="n">
        <f aca="false">IF(AQ7&lt;'Full Service Example Assump'!$D$25,0,'Full Service Example Assump'!$D$9*'Full Service Example Assump'!$D$23*((1+'Full Service Example Assump'!$D$24)^(YEAR(AQ7)-'Full Service Example Assump'!$D$26)-1)/12)</f>
        <v>2601.33333333334</v>
      </c>
      <c r="AR16" s="41" t="n">
        <f aca="false">IF(AR7&lt;'Full Service Example Assump'!$D$25,0,'Full Service Example Assump'!$D$9*'Full Service Example Assump'!$D$23*((1+'Full Service Example Assump'!$D$24)^(YEAR(AR7)-'Full Service Example Assump'!$D$26)-1)/12)</f>
        <v>2601.33333333334</v>
      </c>
      <c r="AS16" s="41" t="n">
        <f aca="false">IF(AS7&lt;'Full Service Example Assump'!$D$25,0,'Full Service Example Assump'!$D$9*'Full Service Example Assump'!$D$23*((1+'Full Service Example Assump'!$D$24)^(YEAR(AS7)-'Full Service Example Assump'!$D$26)-1)/12)</f>
        <v>2601.33333333334</v>
      </c>
      <c r="AT16" s="41" t="n">
        <f aca="false">IF(AT7&lt;'Full Service Example Assump'!$D$25,0,'Full Service Example Assump'!$D$9*'Full Service Example Assump'!$D$23*((1+'Full Service Example Assump'!$D$24)^(YEAR(AT7)-'Full Service Example Assump'!$D$26)-1)/12)</f>
        <v>2601.33333333334</v>
      </c>
      <c r="AU16" s="41" t="n">
        <f aca="false">IF(AU7&lt;'Full Service Example Assump'!$D$25,0,'Full Service Example Assump'!$D$9*'Full Service Example Assump'!$D$23*((1+'Full Service Example Assump'!$D$24)^(YEAR(AU7)-'Full Service Example Assump'!$D$26)-1)/12)</f>
        <v>2601.33333333334</v>
      </c>
      <c r="AV16" s="41" t="n">
        <f aca="false">IF(AV7&lt;'Full Service Example Assump'!$D$25,0,'Full Service Example Assump'!$D$9*'Full Service Example Assump'!$D$23*((1+'Full Service Example Assump'!$D$24)^(YEAR(AV7)-'Full Service Example Assump'!$D$26)-1)/12)</f>
        <v>2601.33333333334</v>
      </c>
      <c r="AW16" s="41" t="n">
        <f aca="false">IF(AW7&lt;'Full Service Example Assump'!$D$25,0,'Full Service Example Assump'!$D$9*'Full Service Example Assump'!$D$23*((1+'Full Service Example Assump'!$D$24)^(YEAR(AW7)-'Full Service Example Assump'!$D$26)-1)/12)</f>
        <v>2601.33333333334</v>
      </c>
      <c r="AX16" s="41" t="n">
        <f aca="false">IF(AX7&lt;'Full Service Example Assump'!$D$25,0,'Full Service Example Assump'!$D$9*'Full Service Example Assump'!$D$23*((1+'Full Service Example Assump'!$D$24)^(YEAR(AX7)-'Full Service Example Assump'!$D$26)-1)/12)</f>
        <v>2601.33333333334</v>
      </c>
      <c r="AY16" s="41" t="n">
        <f aca="false">IF(AY7&lt;'Full Service Example Assump'!$D$25,0,'Full Service Example Assump'!$D$9*'Full Service Example Assump'!$D$23*((1+'Full Service Example Assump'!$D$24)^(YEAR(AY7)-'Full Service Example Assump'!$D$26)-1)/12)</f>
        <v>2601.33333333334</v>
      </c>
      <c r="AZ16" s="41" t="n">
        <f aca="false">IF(AZ7&lt;'Full Service Example Assump'!$D$25,0,'Full Service Example Assump'!$D$9*'Full Service Example Assump'!$D$23*((1+'Full Service Example Assump'!$D$24)^(YEAR(AZ7)-'Full Service Example Assump'!$D$26)-1)/12)</f>
        <v>3538.72</v>
      </c>
      <c r="BA16" s="41" t="n">
        <f aca="false">IF(BA7&lt;'Full Service Example Assump'!$D$25,0,'Full Service Example Assump'!$D$9*'Full Service Example Assump'!$D$23*((1+'Full Service Example Assump'!$D$24)^(YEAR(BA7)-'Full Service Example Assump'!$D$26)-1)/12)</f>
        <v>3538.72</v>
      </c>
      <c r="BB16" s="41" t="n">
        <f aca="false">IF(BB7&lt;'Full Service Example Assump'!$D$25,0,'Full Service Example Assump'!$D$9*'Full Service Example Assump'!$D$23*((1+'Full Service Example Assump'!$D$24)^(YEAR(BB7)-'Full Service Example Assump'!$D$26)-1)/12)</f>
        <v>3538.72</v>
      </c>
      <c r="BC16" s="41" t="n">
        <f aca="false">IF(BC7&lt;'Full Service Example Assump'!$D$25,0,'Full Service Example Assump'!$D$9*'Full Service Example Assump'!$D$23*((1+'Full Service Example Assump'!$D$24)^(YEAR(BC7)-'Full Service Example Assump'!$D$26)-1)/12)</f>
        <v>3538.72</v>
      </c>
      <c r="BD16" s="41" t="n">
        <f aca="false">IF(BD7&lt;'Full Service Example Assump'!$D$25,0,'Full Service Example Assump'!$D$9*'Full Service Example Assump'!$D$23*((1+'Full Service Example Assump'!$D$24)^(YEAR(BD7)-'Full Service Example Assump'!$D$26)-1)/12)</f>
        <v>3538.72</v>
      </c>
      <c r="BE16" s="41" t="n">
        <f aca="false">IF(BE7&lt;'Full Service Example Assump'!$D$25,0,'Full Service Example Assump'!$D$9*'Full Service Example Assump'!$D$23*((1+'Full Service Example Assump'!$D$24)^(YEAR(BE7)-'Full Service Example Assump'!$D$26)-1)/12)</f>
        <v>3538.72</v>
      </c>
      <c r="BF16" s="41" t="n">
        <f aca="false">IF(BF7&lt;'Full Service Example Assump'!$D$25,0,'Full Service Example Assump'!$D$9*'Full Service Example Assump'!$D$23*((1+'Full Service Example Assump'!$D$24)^(YEAR(BF7)-'Full Service Example Assump'!$D$26)-1)/12)</f>
        <v>3538.72</v>
      </c>
      <c r="BG16" s="41" t="n">
        <f aca="false">IF(BG7&lt;'Full Service Example Assump'!$D$25,0,'Full Service Example Assump'!$D$9*'Full Service Example Assump'!$D$23*((1+'Full Service Example Assump'!$D$24)^(YEAR(BG7)-'Full Service Example Assump'!$D$26)-1)/12)</f>
        <v>3538.72</v>
      </c>
      <c r="BH16" s="41" t="n">
        <f aca="false">IF(BH7&lt;'Full Service Example Assump'!$D$25,0,'Full Service Example Assump'!$D$9*'Full Service Example Assump'!$D$23*((1+'Full Service Example Assump'!$D$24)^(YEAR(BH7)-'Full Service Example Assump'!$D$26)-1)/12)</f>
        <v>3538.72</v>
      </c>
      <c r="BI16" s="41" t="n">
        <f aca="false">IF(BI7&lt;'Full Service Example Assump'!$D$25,0,'Full Service Example Assump'!$D$9*'Full Service Example Assump'!$D$23*((1+'Full Service Example Assump'!$D$24)^(YEAR(BI7)-'Full Service Example Assump'!$D$26)-1)/12)</f>
        <v>3538.72</v>
      </c>
      <c r="BJ16" s="41" t="n">
        <f aca="false">IF(BJ7&lt;'Full Service Example Assump'!$D$25,0,'Full Service Example Assump'!$D$9*'Full Service Example Assump'!$D$23*((1+'Full Service Example Assump'!$D$24)^(YEAR(BJ7)-'Full Service Example Assump'!$D$26)-1)/12)</f>
        <v>3538.72</v>
      </c>
      <c r="BK16" s="41" t="n">
        <f aca="false">IF(BK7&lt;'Full Service Example Assump'!$D$25,0,'Full Service Example Assump'!$D$9*'Full Service Example Assump'!$D$23*((1+'Full Service Example Assump'!$D$24)^(YEAR(BK7)-'Full Service Example Assump'!$D$26)-1)/12)</f>
        <v>3538.72</v>
      </c>
      <c r="BL16" s="42" t="n">
        <f aca="false">SUM(D16:BK16)</f>
        <v>104080.64</v>
      </c>
    </row>
    <row r="17" customFormat="false" ht="15" hidden="false" customHeight="false" outlineLevel="0" collapsed="false">
      <c r="B17" s="8" t="s">
        <v>88</v>
      </c>
      <c r="C17" s="15"/>
      <c r="D17" s="41" t="n">
        <f aca="false">'Full Service Example Assump'!$D$31</f>
        <v>0</v>
      </c>
      <c r="E17" s="41" t="n">
        <f aca="false">0</f>
        <v>0</v>
      </c>
      <c r="F17" s="41" t="n">
        <f aca="false">0</f>
        <v>0</v>
      </c>
      <c r="G17" s="41" t="n">
        <f aca="false">0</f>
        <v>0</v>
      </c>
      <c r="H17" s="41" t="n">
        <f aca="false">0</f>
        <v>0</v>
      </c>
      <c r="I17" s="41" t="n">
        <f aca="false">0</f>
        <v>0</v>
      </c>
      <c r="J17" s="41" t="n">
        <f aca="false">0</f>
        <v>0</v>
      </c>
      <c r="K17" s="41" t="n">
        <f aca="false">0</f>
        <v>0</v>
      </c>
      <c r="L17" s="41" t="n">
        <f aca="false">0</f>
        <v>0</v>
      </c>
      <c r="M17" s="41" t="n">
        <f aca="false">0</f>
        <v>0</v>
      </c>
      <c r="N17" s="41" t="n">
        <f aca="false">0</f>
        <v>0</v>
      </c>
      <c r="O17" s="41" t="n">
        <f aca="false">0</f>
        <v>0</v>
      </c>
      <c r="P17" s="41" t="n">
        <f aca="false">0</f>
        <v>0</v>
      </c>
      <c r="Q17" s="41" t="n">
        <f aca="false">0</f>
        <v>0</v>
      </c>
      <c r="R17" s="41" t="n">
        <f aca="false">0</f>
        <v>0</v>
      </c>
      <c r="S17" s="41" t="n">
        <f aca="false">0</f>
        <v>0</v>
      </c>
      <c r="T17" s="41" t="n">
        <f aca="false">0</f>
        <v>0</v>
      </c>
      <c r="U17" s="41" t="n">
        <f aca="false">0</f>
        <v>0</v>
      </c>
      <c r="V17" s="41" t="n">
        <f aca="false">0</f>
        <v>0</v>
      </c>
      <c r="W17" s="41" t="n">
        <f aca="false">0</f>
        <v>0</v>
      </c>
      <c r="X17" s="41" t="n">
        <f aca="false">0</f>
        <v>0</v>
      </c>
      <c r="Y17" s="41" t="n">
        <f aca="false">0</f>
        <v>0</v>
      </c>
      <c r="Z17" s="41" t="n">
        <f aca="false">0</f>
        <v>0</v>
      </c>
      <c r="AA17" s="41" t="n">
        <f aca="false">0</f>
        <v>0</v>
      </c>
      <c r="AB17" s="41" t="n">
        <f aca="false">0</f>
        <v>0</v>
      </c>
      <c r="AC17" s="41" t="n">
        <f aca="false">0</f>
        <v>0</v>
      </c>
      <c r="AD17" s="41" t="n">
        <f aca="false">0</f>
        <v>0</v>
      </c>
      <c r="AE17" s="41" t="n">
        <f aca="false">0</f>
        <v>0</v>
      </c>
      <c r="AF17" s="41" t="n">
        <f aca="false">0</f>
        <v>0</v>
      </c>
      <c r="AG17" s="41" t="n">
        <f aca="false">0</f>
        <v>0</v>
      </c>
      <c r="AH17" s="41" t="n">
        <f aca="false">0</f>
        <v>0</v>
      </c>
      <c r="AI17" s="41" t="n">
        <f aca="false">0</f>
        <v>0</v>
      </c>
      <c r="AJ17" s="41" t="n">
        <f aca="false">0</f>
        <v>0</v>
      </c>
      <c r="AK17" s="41" t="n">
        <f aca="false">0</f>
        <v>0</v>
      </c>
      <c r="AL17" s="41" t="n">
        <f aca="false">0</f>
        <v>0</v>
      </c>
      <c r="AM17" s="41" t="n">
        <f aca="false">0</f>
        <v>0</v>
      </c>
      <c r="AN17" s="41" t="n">
        <f aca="false">0</f>
        <v>0</v>
      </c>
      <c r="AO17" s="41" t="n">
        <f aca="false">0</f>
        <v>0</v>
      </c>
      <c r="AP17" s="41" t="n">
        <f aca="false">0</f>
        <v>0</v>
      </c>
      <c r="AQ17" s="41" t="n">
        <f aca="false">0</f>
        <v>0</v>
      </c>
      <c r="AR17" s="41" t="n">
        <f aca="false">0</f>
        <v>0</v>
      </c>
      <c r="AS17" s="41" t="n">
        <f aca="false">0</f>
        <v>0</v>
      </c>
      <c r="AT17" s="41" t="n">
        <f aca="false">0</f>
        <v>0</v>
      </c>
      <c r="AU17" s="41" t="n">
        <f aca="false">0</f>
        <v>0</v>
      </c>
      <c r="AV17" s="41" t="n">
        <f aca="false">0</f>
        <v>0</v>
      </c>
      <c r="AW17" s="41" t="n">
        <f aca="false">0</f>
        <v>0</v>
      </c>
      <c r="AX17" s="41" t="n">
        <f aca="false">0</f>
        <v>0</v>
      </c>
      <c r="AY17" s="41" t="n">
        <f aca="false">0</f>
        <v>0</v>
      </c>
      <c r="AZ17" s="41" t="n">
        <f aca="false">0</f>
        <v>0</v>
      </c>
      <c r="BA17" s="41" t="n">
        <f aca="false">0</f>
        <v>0</v>
      </c>
      <c r="BB17" s="41" t="n">
        <f aca="false">0</f>
        <v>0</v>
      </c>
      <c r="BC17" s="41" t="n">
        <f aca="false">0</f>
        <v>0</v>
      </c>
      <c r="BD17" s="41" t="n">
        <f aca="false">0</f>
        <v>0</v>
      </c>
      <c r="BE17" s="41" t="n">
        <f aca="false">0</f>
        <v>0</v>
      </c>
      <c r="BF17" s="41" t="n">
        <f aca="false">0</f>
        <v>0</v>
      </c>
      <c r="BG17" s="41" t="n">
        <f aca="false">0</f>
        <v>0</v>
      </c>
      <c r="BH17" s="41" t="n">
        <f aca="false">0</f>
        <v>0</v>
      </c>
      <c r="BI17" s="41" t="n">
        <f aca="false">0</f>
        <v>0</v>
      </c>
      <c r="BJ17" s="41" t="n">
        <f aca="false">0</f>
        <v>0</v>
      </c>
      <c r="BK17" s="41" t="n">
        <f aca="false">0</f>
        <v>0</v>
      </c>
      <c r="BL17" s="42" t="n">
        <f aca="false">SUM(D17:BK17)</f>
        <v>0</v>
      </c>
    </row>
    <row r="18" customFormat="false" ht="15" hidden="false" customHeight="false" outlineLevel="0" collapsed="false">
      <c r="B18" s="8" t="s">
        <v>74</v>
      </c>
      <c r="C18" s="15"/>
      <c r="D18" s="41" t="n">
        <f aca="false">'Full Service Example Assump'!$D$32</f>
        <v>0</v>
      </c>
      <c r="E18" s="41" t="n">
        <f aca="false">0</f>
        <v>0</v>
      </c>
      <c r="F18" s="41" t="n">
        <f aca="false">0</f>
        <v>0</v>
      </c>
      <c r="G18" s="41" t="n">
        <f aca="false">0</f>
        <v>0</v>
      </c>
      <c r="H18" s="41" t="n">
        <f aca="false">0</f>
        <v>0</v>
      </c>
      <c r="I18" s="41" t="n">
        <f aca="false">0</f>
        <v>0</v>
      </c>
      <c r="J18" s="41" t="n">
        <f aca="false">0</f>
        <v>0</v>
      </c>
      <c r="K18" s="41" t="n">
        <f aca="false">0</f>
        <v>0</v>
      </c>
      <c r="L18" s="41" t="n">
        <f aca="false">0</f>
        <v>0</v>
      </c>
      <c r="M18" s="41" t="n">
        <f aca="false">0</f>
        <v>0</v>
      </c>
      <c r="N18" s="41" t="n">
        <f aca="false">0</f>
        <v>0</v>
      </c>
      <c r="O18" s="41" t="n">
        <f aca="false">0</f>
        <v>0</v>
      </c>
      <c r="P18" s="41" t="n">
        <f aca="false">0</f>
        <v>0</v>
      </c>
      <c r="Q18" s="41" t="n">
        <f aca="false">0</f>
        <v>0</v>
      </c>
      <c r="R18" s="41" t="n">
        <f aca="false">0</f>
        <v>0</v>
      </c>
      <c r="S18" s="41" t="n">
        <f aca="false">0</f>
        <v>0</v>
      </c>
      <c r="T18" s="41" t="n">
        <f aca="false">0</f>
        <v>0</v>
      </c>
      <c r="U18" s="41" t="n">
        <f aca="false">0</f>
        <v>0</v>
      </c>
      <c r="V18" s="41" t="n">
        <f aca="false">0</f>
        <v>0</v>
      </c>
      <c r="W18" s="41" t="n">
        <f aca="false">0</f>
        <v>0</v>
      </c>
      <c r="X18" s="41" t="n">
        <f aca="false">0</f>
        <v>0</v>
      </c>
      <c r="Y18" s="41" t="n">
        <f aca="false">0</f>
        <v>0</v>
      </c>
      <c r="Z18" s="41" t="n">
        <f aca="false">0</f>
        <v>0</v>
      </c>
      <c r="AA18" s="41" t="n">
        <f aca="false">0</f>
        <v>0</v>
      </c>
      <c r="AB18" s="41" t="n">
        <f aca="false">0</f>
        <v>0</v>
      </c>
      <c r="AC18" s="41" t="n">
        <f aca="false">0</f>
        <v>0</v>
      </c>
      <c r="AD18" s="41" t="n">
        <f aca="false">0</f>
        <v>0</v>
      </c>
      <c r="AE18" s="41" t="n">
        <f aca="false">0</f>
        <v>0</v>
      </c>
      <c r="AF18" s="41" t="n">
        <f aca="false">0</f>
        <v>0</v>
      </c>
      <c r="AG18" s="41" t="n">
        <f aca="false">0</f>
        <v>0</v>
      </c>
      <c r="AH18" s="41" t="n">
        <f aca="false">0</f>
        <v>0</v>
      </c>
      <c r="AI18" s="41" t="n">
        <f aca="false">0</f>
        <v>0</v>
      </c>
      <c r="AJ18" s="41" t="n">
        <f aca="false">0</f>
        <v>0</v>
      </c>
      <c r="AK18" s="41" t="n">
        <f aca="false">0</f>
        <v>0</v>
      </c>
      <c r="AL18" s="41" t="n">
        <f aca="false">0</f>
        <v>0</v>
      </c>
      <c r="AM18" s="41" t="n">
        <f aca="false">0</f>
        <v>0</v>
      </c>
      <c r="AN18" s="41" t="n">
        <f aca="false">0</f>
        <v>0</v>
      </c>
      <c r="AO18" s="41" t="n">
        <f aca="false">0</f>
        <v>0</v>
      </c>
      <c r="AP18" s="41" t="n">
        <f aca="false">0</f>
        <v>0</v>
      </c>
      <c r="AQ18" s="41" t="n">
        <f aca="false">0</f>
        <v>0</v>
      </c>
      <c r="AR18" s="41" t="n">
        <f aca="false">0</f>
        <v>0</v>
      </c>
      <c r="AS18" s="41" t="n">
        <f aca="false">0</f>
        <v>0</v>
      </c>
      <c r="AT18" s="41" t="n">
        <f aca="false">0</f>
        <v>0</v>
      </c>
      <c r="AU18" s="41" t="n">
        <f aca="false">0</f>
        <v>0</v>
      </c>
      <c r="AV18" s="41" t="n">
        <f aca="false">0</f>
        <v>0</v>
      </c>
      <c r="AW18" s="41" t="n">
        <f aca="false">0</f>
        <v>0</v>
      </c>
      <c r="AX18" s="41" t="n">
        <f aca="false">0</f>
        <v>0</v>
      </c>
      <c r="AY18" s="41" t="n">
        <f aca="false">0</f>
        <v>0</v>
      </c>
      <c r="AZ18" s="41" t="n">
        <f aca="false">0</f>
        <v>0</v>
      </c>
      <c r="BA18" s="41" t="n">
        <f aca="false">0</f>
        <v>0</v>
      </c>
      <c r="BB18" s="41" t="n">
        <f aca="false">0</f>
        <v>0</v>
      </c>
      <c r="BC18" s="41" t="n">
        <f aca="false">0</f>
        <v>0</v>
      </c>
      <c r="BD18" s="41" t="n">
        <f aca="false">0</f>
        <v>0</v>
      </c>
      <c r="BE18" s="41" t="n">
        <f aca="false">0</f>
        <v>0</v>
      </c>
      <c r="BF18" s="41" t="n">
        <f aca="false">0</f>
        <v>0</v>
      </c>
      <c r="BG18" s="41" t="n">
        <f aca="false">0</f>
        <v>0</v>
      </c>
      <c r="BH18" s="41" t="n">
        <f aca="false">0</f>
        <v>0</v>
      </c>
      <c r="BI18" s="41" t="n">
        <f aca="false">0</f>
        <v>0</v>
      </c>
      <c r="BJ18" s="41" t="n">
        <f aca="false">0</f>
        <v>0</v>
      </c>
      <c r="BK18" s="41" t="n">
        <f aca="false">0</f>
        <v>0</v>
      </c>
      <c r="BL18" s="42" t="n">
        <f aca="false">SUM(D18:BK18)</f>
        <v>0</v>
      </c>
    </row>
    <row r="20" customFormat="false" ht="15" hidden="false" customHeight="false" outlineLevel="0" collapsed="false">
      <c r="B20" s="17" t="s">
        <v>43</v>
      </c>
      <c r="C20" s="23"/>
      <c r="D20" s="46" t="n">
        <f aca="false">D14+D16+D17+D18</f>
        <v>-100000</v>
      </c>
      <c r="E20" s="46" t="n">
        <f aca="false">E14+E16+E17+E18</f>
        <v>0</v>
      </c>
      <c r="F20" s="46" t="n">
        <f aca="false">F14+F16+F17+F18</f>
        <v>0</v>
      </c>
      <c r="G20" s="46" t="n">
        <f aca="false">G14+G16+G17+G18</f>
        <v>86250</v>
      </c>
      <c r="H20" s="46" t="n">
        <f aca="false">H14+H16+H17+H18</f>
        <v>86250</v>
      </c>
      <c r="I20" s="46" t="n">
        <f aca="false">I14+I16+I17+I18</f>
        <v>86250</v>
      </c>
      <c r="J20" s="46" t="n">
        <f aca="false">J14+J16+J17+J18</f>
        <v>86250</v>
      </c>
      <c r="K20" s="46" t="n">
        <f aca="false">K14+K16+K17+K18</f>
        <v>86250</v>
      </c>
      <c r="L20" s="46" t="n">
        <f aca="false">L14+L16+L17+L18</f>
        <v>86250</v>
      </c>
      <c r="M20" s="46" t="n">
        <f aca="false">M14+M16+M17+M18</f>
        <v>86250</v>
      </c>
      <c r="N20" s="46" t="n">
        <f aca="false">N14+N16+N17+N18</f>
        <v>86250</v>
      </c>
      <c r="O20" s="46" t="n">
        <f aca="false">O14+O16+O17+O18</f>
        <v>86250</v>
      </c>
      <c r="P20" s="46" t="n">
        <f aca="false">P14+P16+P17+P18</f>
        <v>89670.8333333333</v>
      </c>
      <c r="Q20" s="46" t="n">
        <f aca="false">Q14+Q16+Q17+Q18</f>
        <v>89670.8333333333</v>
      </c>
      <c r="R20" s="46" t="n">
        <f aca="false">R14+R16+R17+R18</f>
        <v>89670.8333333333</v>
      </c>
      <c r="S20" s="46" t="n">
        <f aca="false">S14+S16+S17+S18</f>
        <v>89670.8333333333</v>
      </c>
      <c r="T20" s="46" t="n">
        <f aca="false">T14+T16+T17+T18</f>
        <v>89670.8333333333</v>
      </c>
      <c r="U20" s="46" t="n">
        <f aca="false">U14+U16+U17+U18</f>
        <v>89670.8333333333</v>
      </c>
      <c r="V20" s="46" t="n">
        <f aca="false">V14+V16+V17+V18</f>
        <v>89670.8333333333</v>
      </c>
      <c r="W20" s="46" t="n">
        <f aca="false">W14+W16+W17+W18</f>
        <v>89670.8333333333</v>
      </c>
      <c r="X20" s="46" t="n">
        <f aca="false">X14+X16+X17+X18</f>
        <v>89670.8333333333</v>
      </c>
      <c r="Y20" s="46" t="n">
        <f aca="false">Y14+Y16+Y17+Y18</f>
        <v>89670.8333333333</v>
      </c>
      <c r="Z20" s="46" t="n">
        <f aca="false">Z14+Z16+Z17+Z18</f>
        <v>89670.8333333333</v>
      </c>
      <c r="AA20" s="46" t="n">
        <f aca="false">AA14+AA16+AA17+AA18</f>
        <v>89670.8333333333</v>
      </c>
      <c r="AB20" s="46" t="n">
        <f aca="false">AB14+AB16+AB17+AB18</f>
        <v>93202.625</v>
      </c>
      <c r="AC20" s="46" t="n">
        <f aca="false">AC14+AC16+AC17+AC18</f>
        <v>93202.625</v>
      </c>
      <c r="AD20" s="46" t="n">
        <f aca="false">AD14+AD16+AD17+AD18</f>
        <v>93202.625</v>
      </c>
      <c r="AE20" s="46" t="n">
        <f aca="false">AE14+AE16+AE17+AE18</f>
        <v>93202.625</v>
      </c>
      <c r="AF20" s="46" t="n">
        <f aca="false">AF14+AF16+AF17+AF18</f>
        <v>93202.625</v>
      </c>
      <c r="AG20" s="46" t="n">
        <f aca="false">AG14+AG16+AG17+AG18</f>
        <v>93202.625</v>
      </c>
      <c r="AH20" s="46" t="n">
        <f aca="false">AH14+AH16+AH17+AH18</f>
        <v>93202.625</v>
      </c>
      <c r="AI20" s="46" t="n">
        <f aca="false">AI14+AI16+AI17+AI18</f>
        <v>93202.625</v>
      </c>
      <c r="AJ20" s="46" t="n">
        <f aca="false">AJ14+AJ16+AJ17+AJ18</f>
        <v>93202.625</v>
      </c>
      <c r="AK20" s="46" t="n">
        <f aca="false">AK14+AK16+AK17+AK18</f>
        <v>93202.625</v>
      </c>
      <c r="AL20" s="46" t="n">
        <f aca="false">AL14+AL16+AL17+AL18</f>
        <v>93202.625</v>
      </c>
      <c r="AM20" s="46" t="n">
        <f aca="false">AM14+AM16+AM17+AM18</f>
        <v>93202.625</v>
      </c>
      <c r="AN20" s="46" t="n">
        <f aca="false">AN14+AN16+AN17+AN18</f>
        <v>96849.0370833333</v>
      </c>
      <c r="AO20" s="46" t="n">
        <f aca="false">AO14+AO16+AO17+AO18</f>
        <v>96849.0370833333</v>
      </c>
      <c r="AP20" s="46" t="n">
        <f aca="false">AP14+AP16+AP17+AP18</f>
        <v>96849.0370833333</v>
      </c>
      <c r="AQ20" s="46" t="n">
        <f aca="false">AQ14+AQ16+AQ17+AQ18</f>
        <v>96849.0370833333</v>
      </c>
      <c r="AR20" s="46" t="n">
        <f aca="false">AR14+AR16+AR17+AR18</f>
        <v>96849.0370833333</v>
      </c>
      <c r="AS20" s="46" t="n">
        <f aca="false">AS14+AS16+AS17+AS18</f>
        <v>96849.0370833333</v>
      </c>
      <c r="AT20" s="46" t="n">
        <f aca="false">AT14+AT16+AT17+AT18</f>
        <v>96849.0370833333</v>
      </c>
      <c r="AU20" s="46" t="n">
        <f aca="false">AU14+AU16+AU17+AU18</f>
        <v>96849.0370833333</v>
      </c>
      <c r="AV20" s="46" t="n">
        <f aca="false">AV14+AV16+AV17+AV18</f>
        <v>96849.0370833333</v>
      </c>
      <c r="AW20" s="46" t="n">
        <f aca="false">AW14+AW16+AW17+AW18</f>
        <v>96849.0370833333</v>
      </c>
      <c r="AX20" s="46" t="n">
        <f aca="false">AX14+AX16+AX17+AX18</f>
        <v>96849.0370833333</v>
      </c>
      <c r="AY20" s="46" t="n">
        <f aca="false">AY14+AY16+AY17+AY18</f>
        <v>96849.0370833333</v>
      </c>
      <c r="AZ20" s="46" t="n">
        <f aca="false">AZ14+AZ16+AZ17+AZ18</f>
        <v>100613.8548625</v>
      </c>
      <c r="BA20" s="46" t="n">
        <f aca="false">BA14+BA16+BA17+BA18</f>
        <v>100613.8548625</v>
      </c>
      <c r="BB20" s="46" t="n">
        <f aca="false">BB14+BB16+BB17+BB18</f>
        <v>100613.8548625</v>
      </c>
      <c r="BC20" s="46" t="n">
        <f aca="false">BC14+BC16+BC17+BC18</f>
        <v>100613.8548625</v>
      </c>
      <c r="BD20" s="46" t="n">
        <f aca="false">BD14+BD16+BD17+BD18</f>
        <v>100613.8548625</v>
      </c>
      <c r="BE20" s="46" t="n">
        <f aca="false">BE14+BE16+BE17+BE18</f>
        <v>100613.8548625</v>
      </c>
      <c r="BF20" s="46" t="n">
        <f aca="false">BF14+BF16+BF17+BF18</f>
        <v>100613.8548625</v>
      </c>
      <c r="BG20" s="46" t="n">
        <f aca="false">BG14+BG16+BG17+BG18</f>
        <v>100613.8548625</v>
      </c>
      <c r="BH20" s="46" t="n">
        <f aca="false">BH14+BH16+BH17+BH18</f>
        <v>100613.8548625</v>
      </c>
      <c r="BI20" s="46" t="n">
        <f aca="false">BI14+BI16+BI17+BI18</f>
        <v>100613.8548625</v>
      </c>
      <c r="BJ20" s="46" t="n">
        <f aca="false">BJ14+BJ16+BJ17+BJ18</f>
        <v>100613.8548625</v>
      </c>
      <c r="BK20" s="46" t="n">
        <f aca="false">BK14+BK16+BK17+BK18</f>
        <v>100613.8548625</v>
      </c>
      <c r="BL20" s="47" t="n">
        <f aca="false">SUM(D20:BK20)</f>
        <v>5240286.20335</v>
      </c>
    </row>
    <row r="23" customFormat="false" ht="18" hidden="false" customHeight="true" outlineLevel="0" collapsed="false">
      <c r="B23" s="6" t="s">
        <v>89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</row>
    <row r="24" customFormat="false" ht="15" hidden="false" customHeight="false" outlineLevel="0" collapsed="false">
      <c r="B24" s="8" t="s">
        <v>30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48" t="n">
        <f aca="false">'Full Service Example Assump'!$D$9*'Full Service Example Assump'!$D$29</f>
        <v>500000</v>
      </c>
    </row>
  </sheetData>
  <mergeCells count="2">
    <mergeCell ref="B2:BL2"/>
    <mergeCell ref="B3:BL3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3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34"/>
    <col collapsed="false" customWidth="true" hidden="false" outlineLevel="0" max="4" min="3" style="0" width="2"/>
    <col collapsed="false" customWidth="true" hidden="false" outlineLevel="0" max="5" min="5" style="0" width="18"/>
    <col collapsed="false" customWidth="true" hidden="false" outlineLevel="0" max="6" min="6" style="0" width="2"/>
    <col collapsed="false" customWidth="true" hidden="false" outlineLevel="0" max="7" min="7" style="0" width="3"/>
    <col collapsed="false" customWidth="true" hidden="false" outlineLevel="0" max="8" min="8" style="0" width="12"/>
    <col collapsed="false" customWidth="true" hidden="false" outlineLevel="0" max="9" min="9" style="0" width="18"/>
  </cols>
  <sheetData>
    <row r="2" customFormat="false" ht="25.5" hidden="false" customHeight="true" outlineLevel="0" collapsed="false">
      <c r="B2" s="1" t="s">
        <v>90</v>
      </c>
      <c r="C2" s="1"/>
      <c r="D2" s="1"/>
      <c r="E2" s="1"/>
      <c r="F2" s="1"/>
    </row>
    <row r="3" customFormat="false" ht="15.75" hidden="false" customHeight="true" outlineLevel="0" collapsed="false">
      <c r="B3" s="2" t="s">
        <v>91</v>
      </c>
      <c r="C3" s="2"/>
      <c r="D3" s="2"/>
      <c r="E3" s="2"/>
      <c r="F3" s="2"/>
    </row>
    <row r="5" customFormat="false" ht="18" hidden="false" customHeight="true" outlineLevel="0" collapsed="false">
      <c r="B5" s="6" t="s">
        <v>40</v>
      </c>
      <c r="C5" s="7"/>
      <c r="D5" s="7"/>
      <c r="E5" s="7"/>
      <c r="F5" s="7"/>
      <c r="H5" s="6" t="s">
        <v>41</v>
      </c>
      <c r="I5" s="7"/>
    </row>
    <row r="6" customFormat="false" ht="15" hidden="false" customHeight="false" outlineLevel="0" collapsed="false">
      <c r="B6" s="8" t="s">
        <v>7</v>
      </c>
      <c r="C6" s="15"/>
      <c r="D6" s="15"/>
      <c r="E6" s="9" t="n">
        <f aca="false">'Industrial Gross Ex Assump'!$D$17</f>
        <v>18</v>
      </c>
      <c r="F6" s="15"/>
      <c r="H6" s="20" t="s">
        <v>42</v>
      </c>
      <c r="I6" s="21" t="s">
        <v>43</v>
      </c>
    </row>
    <row r="7" customFormat="false" ht="15" hidden="false" customHeight="false" outlineLevel="0" collapsed="false">
      <c r="B7" s="8" t="s">
        <v>8</v>
      </c>
      <c r="C7" s="15"/>
      <c r="D7" s="15"/>
      <c r="E7" s="10" t="n">
        <f aca="false">'Industrial Gross Ex Assump'!$D$18</f>
        <v>0.035</v>
      </c>
      <c r="F7" s="15"/>
      <c r="H7" s="22" t="n">
        <v>1</v>
      </c>
      <c r="I7" s="16" t="n">
        <f aca="false">SUM('Industrial Gross Ex CF'!D21:O21)</f>
        <v>513125</v>
      </c>
    </row>
    <row r="8" customFormat="false" ht="15" hidden="false" customHeight="false" outlineLevel="0" collapsed="false">
      <c r="B8" s="8" t="s">
        <v>44</v>
      </c>
      <c r="C8" s="15"/>
      <c r="D8" s="15"/>
      <c r="E8" s="13" t="n">
        <f aca="false">'Industrial Gross Ex Assump'!$D$10</f>
        <v>46023</v>
      </c>
      <c r="F8" s="15"/>
      <c r="H8" s="22" t="n">
        <v>2</v>
      </c>
      <c r="I8" s="16" t="n">
        <f aca="false">SUM('Industrial Gross Ex CF'!P21:AA21)</f>
        <v>635801.25</v>
      </c>
    </row>
    <row r="9" customFormat="false" ht="15" hidden="false" customHeight="false" outlineLevel="0" collapsed="false">
      <c r="B9" s="8" t="s">
        <v>13</v>
      </c>
      <c r="C9" s="15"/>
      <c r="D9" s="15"/>
      <c r="E9" s="14" t="n">
        <f aca="false">'Industrial Gross Ex Assump'!$D$9</f>
        <v>25000</v>
      </c>
      <c r="F9" s="15"/>
      <c r="H9" s="22" t="n">
        <v>3</v>
      </c>
      <c r="I9" s="16" t="n">
        <f aca="false">SUM('Industrial Gross Ex CF'!AB21:AM21)</f>
        <v>682535.54375</v>
      </c>
    </row>
    <row r="10" customFormat="false" ht="15" hidden="false" customHeight="false" outlineLevel="0" collapsed="false">
      <c r="B10" s="8" t="s">
        <v>9</v>
      </c>
      <c r="C10" s="15"/>
      <c r="D10" s="15"/>
      <c r="E10" s="11" t="n">
        <f aca="false">'Industrial Gross Ex Assump'!$D$12</f>
        <v>39</v>
      </c>
      <c r="F10" s="15"/>
      <c r="H10" s="22" t="n">
        <v>4</v>
      </c>
      <c r="I10" s="16" t="n">
        <f aca="false">SUM('Industrial Gross Ex CF'!AN21:AP21)</f>
        <v>182754.056320313</v>
      </c>
    </row>
    <row r="11" customFormat="false" ht="15" hidden="false" customHeight="false" outlineLevel="0" collapsed="false">
      <c r="B11" s="8" t="s">
        <v>10</v>
      </c>
      <c r="C11" s="15"/>
      <c r="D11" s="15"/>
      <c r="E11" s="11" t="n">
        <f aca="false">'Industrial Gross Ex Assump'!$D$13</f>
        <v>2</v>
      </c>
      <c r="F11" s="15"/>
      <c r="H11" s="17" t="s">
        <v>37</v>
      </c>
      <c r="I11" s="18" t="n">
        <f aca="false">'Industrial Gross Ex CF'!AQ21</f>
        <v>2014215.85007031</v>
      </c>
    </row>
    <row r="12" customFormat="false" ht="15" hidden="false" customHeight="false" outlineLevel="0" collapsed="false">
      <c r="B12" s="8" t="s">
        <v>11</v>
      </c>
      <c r="C12" s="15"/>
      <c r="D12" s="15"/>
      <c r="E12" s="12" t="str">
        <f aca="false">'Industrial Gross Ex Assump'!$D$14</f>
        <v>Industrial Gross</v>
      </c>
      <c r="F12" s="15"/>
    </row>
    <row r="13" customFormat="false" ht="15" hidden="false" customHeight="false" outlineLevel="0" collapsed="false">
      <c r="B13" s="8" t="s">
        <v>15</v>
      </c>
      <c r="C13" s="15"/>
      <c r="D13" s="15"/>
      <c r="E13" s="9" t="n">
        <f aca="false">'Industrial Gross Ex Assump'!$D$27</f>
        <v>5</v>
      </c>
      <c r="F13" s="15"/>
    </row>
    <row r="14" customFormat="false" ht="15" hidden="false" customHeight="false" outlineLevel="0" collapsed="false">
      <c r="B14" s="8" t="s">
        <v>16</v>
      </c>
      <c r="C14" s="15"/>
      <c r="D14" s="15"/>
      <c r="E14" s="10" t="n">
        <f aca="false">'Industrial Gross Ex Assump'!$D$28</f>
        <v>0.03</v>
      </c>
      <c r="F14" s="15"/>
    </row>
    <row r="15" customFormat="false" ht="15" hidden="false" customHeight="false" outlineLevel="0" collapsed="false">
      <c r="B15" s="8" t="s">
        <v>14</v>
      </c>
      <c r="C15" s="15"/>
      <c r="D15" s="15"/>
      <c r="E15" s="9" t="n">
        <f aca="false">'Industrial Gross Ex Assump'!$D$32</f>
        <v>0</v>
      </c>
      <c r="F15" s="15"/>
    </row>
    <row r="17" customFormat="false" ht="18" hidden="false" customHeight="true" outlineLevel="0" collapsed="false">
      <c r="B17" s="6" t="s">
        <v>17</v>
      </c>
      <c r="C17" s="7"/>
      <c r="D17" s="7"/>
      <c r="E17" s="7"/>
      <c r="F17" s="7"/>
    </row>
    <row r="18" customFormat="false" ht="15" hidden="false" customHeight="false" outlineLevel="0" collapsed="false">
      <c r="B18" s="8" t="s">
        <v>45</v>
      </c>
      <c r="C18" s="15"/>
      <c r="D18" s="15"/>
      <c r="E18" s="16" t="n">
        <f aca="false">'Industrial Gross Ex CF'!AQ10</f>
        <v>1522532.0109375</v>
      </c>
      <c r="F18" s="15"/>
    </row>
    <row r="19" customFormat="false" ht="15" hidden="false" customHeight="false" outlineLevel="0" collapsed="false">
      <c r="B19" s="8" t="s">
        <v>19</v>
      </c>
      <c r="C19" s="15"/>
      <c r="D19" s="15"/>
      <c r="E19" s="16" t="n">
        <f aca="false">'Industrial Gross Ex CF'!AQ11</f>
        <v>-75000</v>
      </c>
      <c r="F19" s="15"/>
    </row>
    <row r="20" customFormat="false" ht="15" hidden="false" customHeight="false" outlineLevel="0" collapsed="false">
      <c r="B20" s="8" t="s">
        <v>20</v>
      </c>
      <c r="C20" s="15"/>
      <c r="D20" s="15"/>
      <c r="E20" s="16" t="n">
        <f aca="false">'Industrial Gross Ex CF'!AQ12</f>
        <v>0</v>
      </c>
      <c r="F20" s="15"/>
    </row>
    <row r="21" customFormat="false" ht="15" hidden="false" customHeight="false" outlineLevel="0" collapsed="false">
      <c r="B21" s="8" t="s">
        <v>21</v>
      </c>
      <c r="C21" s="15"/>
      <c r="D21" s="15"/>
      <c r="E21" s="16" t="n">
        <f aca="false">'Industrial Gross Ex CF'!AQ13</f>
        <v>50663.6203828125</v>
      </c>
      <c r="F21" s="15"/>
    </row>
    <row r="22" customFormat="false" ht="15" hidden="false" customHeight="false" outlineLevel="0" collapsed="false">
      <c r="B22" s="8" t="s">
        <v>22</v>
      </c>
      <c r="C22" s="15"/>
      <c r="D22" s="15"/>
      <c r="E22" s="16" t="n">
        <f aca="false">'Industrial Gross Ex CF'!AQ16</f>
        <v>95510.0000000001</v>
      </c>
      <c r="F22" s="15"/>
    </row>
    <row r="23" customFormat="false" ht="15" hidden="false" customHeight="false" outlineLevel="0" collapsed="false">
      <c r="B23" s="8" t="s">
        <v>23</v>
      </c>
      <c r="C23" s="15"/>
      <c r="D23" s="15"/>
      <c r="E23" s="16" t="n">
        <f aca="false">'Industrial Gross Ex CF'!AQ17</f>
        <v>420510.21875</v>
      </c>
      <c r="F23" s="15"/>
    </row>
    <row r="24" customFormat="false" ht="15" hidden="false" customHeight="false" outlineLevel="0" collapsed="false">
      <c r="B24" s="8" t="s">
        <v>46</v>
      </c>
      <c r="C24" s="15"/>
      <c r="D24" s="15"/>
      <c r="E24" s="16" t="n">
        <f aca="false">'Industrial Gross Ex CF'!AQ18</f>
        <v>0</v>
      </c>
      <c r="F24" s="15"/>
    </row>
    <row r="25" customFormat="false" ht="15" hidden="false" customHeight="false" outlineLevel="0" collapsed="false">
      <c r="B25" s="17" t="s">
        <v>47</v>
      </c>
      <c r="C25" s="23"/>
      <c r="D25" s="23"/>
      <c r="E25" s="18" t="n">
        <f aca="false">'Industrial Gross Ex CF'!AQ21</f>
        <v>2014215.85007031</v>
      </c>
      <c r="F25" s="23"/>
    </row>
    <row r="27" customFormat="false" ht="18" hidden="false" customHeight="true" outlineLevel="0" collapsed="false">
      <c r="B27" s="6" t="s">
        <v>48</v>
      </c>
      <c r="C27" s="7"/>
      <c r="D27" s="7"/>
      <c r="E27" s="7"/>
      <c r="F27" s="7"/>
    </row>
    <row r="28" customFormat="false" ht="15" hidden="false" customHeight="false" outlineLevel="0" collapsed="false">
      <c r="B28" s="8" t="s">
        <v>49</v>
      </c>
      <c r="C28" s="15"/>
      <c r="D28" s="15"/>
      <c r="E28" s="9" t="n">
        <f aca="false">'Industrial Gross Ex CF'!AQ21/'Industrial Gross Ex Assump'!$D$9/('Industrial Gross Ex Assump'!$D$12/12)</f>
        <v>24.7903489239423</v>
      </c>
      <c r="F28" s="15"/>
    </row>
    <row r="29" customFormat="false" ht="15" hidden="false" customHeight="false" outlineLevel="0" collapsed="false">
      <c r="B29" s="8" t="s">
        <v>27</v>
      </c>
      <c r="C29" s="15"/>
      <c r="D29" s="15"/>
      <c r="E29" s="16" t="n">
        <f aca="false">'Industrial Gross Ex CF'!AQ21/('Industrial Gross Ex Assump'!$D$12/12)</f>
        <v>619758.723098558</v>
      </c>
      <c r="F29" s="15"/>
    </row>
    <row r="30" customFormat="false" ht="15" hidden="false" customHeight="false" outlineLevel="0" collapsed="false">
      <c r="B30" s="8" t="s">
        <v>28</v>
      </c>
      <c r="C30" s="15"/>
      <c r="D30" s="15"/>
      <c r="E30" s="16" t="n">
        <f aca="false">'Industrial Gross Ex CF'!AQ21/'Industrial Gross Ex Assump'!$D$12</f>
        <v>51646.5602582131</v>
      </c>
      <c r="F30" s="15"/>
    </row>
    <row r="32" customFormat="false" ht="18" hidden="false" customHeight="true" outlineLevel="0" collapsed="false">
      <c r="B32" s="6" t="s">
        <v>50</v>
      </c>
      <c r="C32" s="7"/>
      <c r="D32" s="7"/>
      <c r="E32" s="7"/>
      <c r="F32" s="7"/>
    </row>
    <row r="33" customFormat="false" ht="15" hidden="false" customHeight="false" outlineLevel="0" collapsed="false">
      <c r="B33" s="8" t="s">
        <v>30</v>
      </c>
      <c r="C33" s="15"/>
      <c r="D33" s="15"/>
      <c r="E33" s="19" t="n">
        <f aca="false">'Industrial Gross Ex CF'!AQ25</f>
        <v>375000</v>
      </c>
      <c r="F33" s="15"/>
    </row>
  </sheetData>
  <mergeCells count="2">
    <mergeCell ref="B2:F2"/>
    <mergeCell ref="B3:F3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34"/>
    <col collapsed="false" customWidth="true" hidden="false" outlineLevel="0" max="3" min="3" style="0" width="2"/>
    <col collapsed="false" customWidth="true" hidden="false" outlineLevel="0" max="4" min="4" style="0" width="16"/>
    <col collapsed="false" customWidth="true" hidden="false" outlineLevel="0" max="5" min="5" style="0" width="2"/>
    <col collapsed="false" customWidth="true" hidden="false" outlineLevel="0" max="6" min="6" style="0" width="54"/>
  </cols>
  <sheetData>
    <row r="2" customFormat="false" ht="25.5" hidden="false" customHeight="true" outlineLevel="0" collapsed="false">
      <c r="B2" s="1" t="s">
        <v>92</v>
      </c>
      <c r="C2" s="1"/>
      <c r="D2" s="1"/>
      <c r="E2" s="1"/>
      <c r="F2" s="1"/>
    </row>
    <row r="3" customFormat="false" ht="15.75" hidden="false" customHeight="true" outlineLevel="0" collapsed="false">
      <c r="B3" s="2" t="s">
        <v>93</v>
      </c>
      <c r="C3" s="2"/>
      <c r="D3" s="2"/>
      <c r="E3" s="2"/>
      <c r="F3" s="2"/>
    </row>
    <row r="7" customFormat="false" ht="18" hidden="false" customHeight="true" outlineLevel="0" collapsed="false">
      <c r="B7" s="6" t="s">
        <v>53</v>
      </c>
      <c r="C7" s="7"/>
      <c r="D7" s="7"/>
      <c r="E7" s="7"/>
      <c r="F7" s="7"/>
    </row>
    <row r="8" customFormat="false" ht="15" hidden="false" customHeight="false" outlineLevel="0" collapsed="false">
      <c r="B8" s="8" t="s">
        <v>54</v>
      </c>
      <c r="C8" s="15"/>
      <c r="D8" s="24" t="s">
        <v>55</v>
      </c>
    </row>
    <row r="9" customFormat="false" ht="15" hidden="false" customHeight="false" outlineLevel="0" collapsed="false">
      <c r="B9" s="8" t="s">
        <v>13</v>
      </c>
      <c r="C9" s="15"/>
      <c r="D9" s="25" t="n">
        <v>25000</v>
      </c>
    </row>
    <row r="10" customFormat="false" ht="15" hidden="false" customHeight="false" outlineLevel="0" collapsed="false">
      <c r="B10" s="8" t="s">
        <v>12</v>
      </c>
      <c r="C10" s="15"/>
      <c r="D10" s="26" t="n">
        <v>46023</v>
      </c>
    </row>
    <row r="11" customFormat="false" ht="15" hidden="false" customHeight="false" outlineLevel="0" collapsed="false">
      <c r="B11" s="8" t="s">
        <v>56</v>
      </c>
      <c r="C11" s="15"/>
      <c r="D11" s="26" t="n">
        <v>46023</v>
      </c>
    </row>
    <row r="12" customFormat="false" ht="15" hidden="false" customHeight="false" outlineLevel="0" collapsed="false">
      <c r="B12" s="8" t="s">
        <v>9</v>
      </c>
      <c r="C12" s="15"/>
      <c r="D12" s="27" t="n">
        <v>39</v>
      </c>
    </row>
    <row r="13" customFormat="false" ht="15" hidden="false" customHeight="false" outlineLevel="0" collapsed="false">
      <c r="B13" s="8" t="s">
        <v>10</v>
      </c>
      <c r="C13" s="15"/>
      <c r="D13" s="27" t="n">
        <v>2</v>
      </c>
    </row>
    <row r="14" customFormat="false" ht="15" hidden="false" customHeight="false" outlineLevel="0" collapsed="false">
      <c r="B14" s="8" t="s">
        <v>11</v>
      </c>
      <c r="C14" s="15"/>
      <c r="D14" s="28" t="s">
        <v>94</v>
      </c>
    </row>
    <row r="16" customFormat="false" ht="18" hidden="false" customHeight="true" outlineLevel="0" collapsed="false">
      <c r="B16" s="6" t="s">
        <v>58</v>
      </c>
      <c r="C16" s="7"/>
      <c r="D16" s="7"/>
      <c r="E16" s="7"/>
      <c r="F16" s="7"/>
    </row>
    <row r="17" customFormat="false" ht="15" hidden="false" customHeight="false" outlineLevel="0" collapsed="false">
      <c r="B17" s="8" t="s">
        <v>59</v>
      </c>
      <c r="C17" s="15"/>
      <c r="D17" s="29" t="n">
        <v>18</v>
      </c>
    </row>
    <row r="18" customFormat="false" ht="15" hidden="false" customHeight="false" outlineLevel="0" collapsed="false">
      <c r="B18" s="8" t="s">
        <v>60</v>
      </c>
      <c r="C18" s="15"/>
      <c r="D18" s="30" t="n">
        <v>0.035</v>
      </c>
    </row>
    <row r="19" customFormat="false" ht="15" hidden="false" customHeight="false" outlineLevel="0" collapsed="false">
      <c r="B19" s="8" t="s">
        <v>61</v>
      </c>
      <c r="C19" s="15"/>
      <c r="D19" s="30" t="n">
        <v>0.035</v>
      </c>
    </row>
    <row r="20" customFormat="false" ht="15" hidden="false" customHeight="false" outlineLevel="0" collapsed="false">
      <c r="B20" s="8" t="s">
        <v>62</v>
      </c>
      <c r="C20" s="15"/>
      <c r="D20" s="24" t="s">
        <v>95</v>
      </c>
    </row>
    <row r="22" customFormat="false" ht="18" hidden="false" customHeight="true" outlineLevel="0" collapsed="false">
      <c r="B22" s="6" t="s">
        <v>96</v>
      </c>
      <c r="C22" s="7"/>
      <c r="D22" s="7"/>
      <c r="E22" s="7"/>
      <c r="F22" s="7"/>
    </row>
    <row r="23" customFormat="false" ht="15" hidden="false" customHeight="false" outlineLevel="0" collapsed="false">
      <c r="B23" s="8" t="s">
        <v>65</v>
      </c>
      <c r="C23" s="15"/>
      <c r="D23" s="29" t="n">
        <v>25</v>
      </c>
    </row>
    <row r="24" customFormat="false" ht="15" hidden="false" customHeight="false" outlineLevel="0" collapsed="false">
      <c r="B24" s="8" t="s">
        <v>66</v>
      </c>
      <c r="C24" s="15"/>
      <c r="D24" s="30" t="n">
        <v>0.04</v>
      </c>
    </row>
    <row r="25" customFormat="false" ht="15" hidden="false" customHeight="false" outlineLevel="0" collapsed="false">
      <c r="B25" s="8" t="s">
        <v>67</v>
      </c>
      <c r="C25" s="15"/>
      <c r="D25" s="26" t="n">
        <v>46388</v>
      </c>
    </row>
    <row r="26" customFormat="false" ht="15" hidden="false" customHeight="false" outlineLevel="0" collapsed="false">
      <c r="B26" s="8" t="s">
        <v>68</v>
      </c>
      <c r="C26" s="15"/>
      <c r="D26" s="27" t="n">
        <v>2026</v>
      </c>
    </row>
    <row r="27" customFormat="false" ht="15" hidden="false" customHeight="false" outlineLevel="0" collapsed="false">
      <c r="B27" s="8" t="s">
        <v>15</v>
      </c>
      <c r="C27" s="15"/>
      <c r="D27" s="29" t="n">
        <v>5</v>
      </c>
      <c r="F27" s="32" t="s">
        <v>97</v>
      </c>
    </row>
    <row r="28" customFormat="false" ht="15" hidden="false" customHeight="false" outlineLevel="0" collapsed="false">
      <c r="B28" s="8" t="s">
        <v>16</v>
      </c>
      <c r="C28" s="15"/>
      <c r="D28" s="30" t="n">
        <v>0.03</v>
      </c>
    </row>
    <row r="30" customFormat="false" ht="18" hidden="false" customHeight="true" outlineLevel="0" collapsed="false">
      <c r="B30" s="6" t="s">
        <v>69</v>
      </c>
      <c r="C30" s="7"/>
      <c r="D30" s="7"/>
      <c r="E30" s="7"/>
      <c r="F30" s="7"/>
    </row>
    <row r="31" customFormat="false" ht="15" hidden="false" customHeight="false" outlineLevel="0" collapsed="false">
      <c r="B31" s="8" t="s">
        <v>70</v>
      </c>
      <c r="C31" s="15"/>
      <c r="D31" s="31" t="n">
        <v>15</v>
      </c>
      <c r="F31" s="32" t="s">
        <v>71</v>
      </c>
    </row>
    <row r="32" customFormat="false" ht="15" hidden="false" customHeight="false" outlineLevel="0" collapsed="false">
      <c r="B32" s="8" t="s">
        <v>14</v>
      </c>
      <c r="C32" s="15"/>
      <c r="D32" s="29" t="n">
        <v>0</v>
      </c>
      <c r="F32" s="32" t="s">
        <v>72</v>
      </c>
    </row>
    <row r="33" customFormat="false" ht="15" hidden="false" customHeight="false" outlineLevel="0" collapsed="false">
      <c r="B33" s="8" t="s">
        <v>73</v>
      </c>
      <c r="C33" s="15"/>
      <c r="D33" s="33" t="n">
        <v>0</v>
      </c>
    </row>
    <row r="34" customFormat="false" ht="15" hidden="false" customHeight="false" outlineLevel="0" collapsed="false">
      <c r="B34" s="8" t="s">
        <v>74</v>
      </c>
      <c r="C34" s="15"/>
      <c r="D34" s="33" t="n">
        <v>0</v>
      </c>
    </row>
    <row r="36" customFormat="false" ht="18" hidden="false" customHeight="true" outlineLevel="0" collapsed="false">
      <c r="B36" s="6" t="s">
        <v>75</v>
      </c>
      <c r="C36" s="7"/>
      <c r="D36" s="7"/>
      <c r="E36" s="7"/>
      <c r="F36" s="7"/>
    </row>
    <row r="37" customFormat="false" ht="15" hidden="false" customHeight="false" outlineLevel="0" collapsed="false">
      <c r="B37" s="20" t="s">
        <v>42</v>
      </c>
      <c r="C37" s="15"/>
      <c r="D37" s="21" t="s">
        <v>76</v>
      </c>
    </row>
    <row r="38" customFormat="false" ht="15" hidden="false" customHeight="false" outlineLevel="0" collapsed="false">
      <c r="B38" s="22" t="n">
        <v>1</v>
      </c>
      <c r="C38" s="15"/>
      <c r="D38" s="34" t="n">
        <f aca="false">$D$17</f>
        <v>18</v>
      </c>
    </row>
    <row r="39" customFormat="false" ht="15" hidden="false" customHeight="false" outlineLevel="0" collapsed="false">
      <c r="B39" s="22" t="n">
        <v>2</v>
      </c>
      <c r="C39" s="15"/>
      <c r="D39" s="34" t="n">
        <f aca="false">$D$38*(1+$D$18)</f>
        <v>18.63</v>
      </c>
    </row>
    <row r="40" customFormat="false" ht="15" hidden="false" customHeight="false" outlineLevel="0" collapsed="false">
      <c r="B40" s="22" t="n">
        <v>3</v>
      </c>
      <c r="C40" s="15"/>
      <c r="D40" s="34" t="n">
        <f aca="false">$D$39*(1+$D$18)</f>
        <v>19.28205</v>
      </c>
    </row>
    <row r="41" customFormat="false" ht="15" hidden="false" customHeight="false" outlineLevel="0" collapsed="false">
      <c r="B41" s="22" t="n">
        <v>4</v>
      </c>
      <c r="C41" s="15"/>
      <c r="D41" s="34" t="n">
        <f aca="false">$D$40*(1+$D$18)</f>
        <v>19.95692175</v>
      </c>
    </row>
  </sheetData>
  <mergeCells count="2">
    <mergeCell ref="B2:F2"/>
    <mergeCell ref="B3:F3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AQ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8" topLeftCell="D9" activePane="bottomRight" state="frozen"/>
      <selection pane="topLeft" activeCell="A1" activeCellId="0" sqref="A1"/>
      <selection pane="topRight" activeCell="D1" activeCellId="0" sqref="D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30"/>
    <col collapsed="false" customWidth="true" hidden="false" outlineLevel="0" max="3" min="3" style="0" width="2"/>
    <col collapsed="false" customWidth="true" hidden="false" outlineLevel="0" max="42" min="4" style="0" width="11"/>
    <col collapsed="false" customWidth="true" hidden="false" outlineLevel="0" max="43" min="43" style="0" width="16"/>
  </cols>
  <sheetData>
    <row r="2" customFormat="false" ht="25.5" hidden="false" customHeight="true" outlineLevel="0" collapsed="false">
      <c r="B2" s="1" t="s">
        <v>98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customFormat="false" ht="15.75" hidden="false" customHeight="true" outlineLevel="0" collapsed="false">
      <c r="B3" s="2" t="s">
        <v>99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5" customFormat="false" ht="15" hidden="false" customHeight="false" outlineLevel="0" collapsed="false">
      <c r="B5" s="35" t="s">
        <v>42</v>
      </c>
      <c r="C5" s="36"/>
      <c r="D5" s="37" t="n">
        <v>1</v>
      </c>
      <c r="E5" s="37" t="n">
        <v>1</v>
      </c>
      <c r="F5" s="37" t="n">
        <v>1</v>
      </c>
      <c r="G5" s="37" t="n">
        <v>1</v>
      </c>
      <c r="H5" s="37" t="n">
        <v>1</v>
      </c>
      <c r="I5" s="37" t="n">
        <v>1</v>
      </c>
      <c r="J5" s="37" t="n">
        <v>1</v>
      </c>
      <c r="K5" s="37" t="n">
        <v>1</v>
      </c>
      <c r="L5" s="37" t="n">
        <v>1</v>
      </c>
      <c r="M5" s="37" t="n">
        <v>1</v>
      </c>
      <c r="N5" s="37" t="n">
        <v>1</v>
      </c>
      <c r="O5" s="37" t="n">
        <v>1</v>
      </c>
      <c r="P5" s="37" t="n">
        <v>2</v>
      </c>
      <c r="Q5" s="37" t="n">
        <v>2</v>
      </c>
      <c r="R5" s="37" t="n">
        <v>2</v>
      </c>
      <c r="S5" s="37" t="n">
        <v>2</v>
      </c>
      <c r="T5" s="37" t="n">
        <v>2</v>
      </c>
      <c r="U5" s="37" t="n">
        <v>2</v>
      </c>
      <c r="V5" s="37" t="n">
        <v>2</v>
      </c>
      <c r="W5" s="37" t="n">
        <v>2</v>
      </c>
      <c r="X5" s="37" t="n">
        <v>2</v>
      </c>
      <c r="Y5" s="37" t="n">
        <v>2</v>
      </c>
      <c r="Z5" s="37" t="n">
        <v>2</v>
      </c>
      <c r="AA5" s="37" t="n">
        <v>2</v>
      </c>
      <c r="AB5" s="37" t="n">
        <v>3</v>
      </c>
      <c r="AC5" s="37" t="n">
        <v>3</v>
      </c>
      <c r="AD5" s="37" t="n">
        <v>3</v>
      </c>
      <c r="AE5" s="37" t="n">
        <v>3</v>
      </c>
      <c r="AF5" s="37" t="n">
        <v>3</v>
      </c>
      <c r="AG5" s="37" t="n">
        <v>3</v>
      </c>
      <c r="AH5" s="37" t="n">
        <v>3</v>
      </c>
      <c r="AI5" s="37" t="n">
        <v>3</v>
      </c>
      <c r="AJ5" s="37" t="n">
        <v>3</v>
      </c>
      <c r="AK5" s="37" t="n">
        <v>3</v>
      </c>
      <c r="AL5" s="37" t="n">
        <v>3</v>
      </c>
      <c r="AM5" s="37" t="n">
        <v>3</v>
      </c>
      <c r="AN5" s="37" t="n">
        <v>4</v>
      </c>
      <c r="AO5" s="37" t="n">
        <v>4</v>
      </c>
      <c r="AP5" s="37" t="n">
        <v>4</v>
      </c>
      <c r="AQ5" s="4" t="s">
        <v>79</v>
      </c>
    </row>
    <row r="6" customFormat="false" ht="15" hidden="false" customHeight="false" outlineLevel="0" collapsed="false">
      <c r="B6" s="35" t="s">
        <v>80</v>
      </c>
      <c r="C6" s="36"/>
      <c r="D6" s="37" t="n">
        <v>1</v>
      </c>
      <c r="E6" s="37" t="n">
        <v>2</v>
      </c>
      <c r="F6" s="37" t="n">
        <v>3</v>
      </c>
      <c r="G6" s="37" t="n">
        <v>4</v>
      </c>
      <c r="H6" s="37" t="n">
        <v>5</v>
      </c>
      <c r="I6" s="37" t="n">
        <v>6</v>
      </c>
      <c r="J6" s="37" t="n">
        <v>7</v>
      </c>
      <c r="K6" s="37" t="n">
        <v>8</v>
      </c>
      <c r="L6" s="37" t="n">
        <v>9</v>
      </c>
      <c r="M6" s="37" t="n">
        <v>10</v>
      </c>
      <c r="N6" s="37" t="n">
        <v>11</v>
      </c>
      <c r="O6" s="37" t="n">
        <v>12</v>
      </c>
      <c r="P6" s="37" t="n">
        <v>13</v>
      </c>
      <c r="Q6" s="37" t="n">
        <v>14</v>
      </c>
      <c r="R6" s="37" t="n">
        <v>15</v>
      </c>
      <c r="S6" s="37" t="n">
        <v>16</v>
      </c>
      <c r="T6" s="37" t="n">
        <v>17</v>
      </c>
      <c r="U6" s="37" t="n">
        <v>18</v>
      </c>
      <c r="V6" s="37" t="n">
        <v>19</v>
      </c>
      <c r="W6" s="37" t="n">
        <v>20</v>
      </c>
      <c r="X6" s="37" t="n">
        <v>21</v>
      </c>
      <c r="Y6" s="37" t="n">
        <v>22</v>
      </c>
      <c r="Z6" s="37" t="n">
        <v>23</v>
      </c>
      <c r="AA6" s="37" t="n">
        <v>24</v>
      </c>
      <c r="AB6" s="37" t="n">
        <v>25</v>
      </c>
      <c r="AC6" s="37" t="n">
        <v>26</v>
      </c>
      <c r="AD6" s="37" t="n">
        <v>27</v>
      </c>
      <c r="AE6" s="37" t="n">
        <v>28</v>
      </c>
      <c r="AF6" s="37" t="n">
        <v>29</v>
      </c>
      <c r="AG6" s="37" t="n">
        <v>30</v>
      </c>
      <c r="AH6" s="37" t="n">
        <v>31</v>
      </c>
      <c r="AI6" s="37" t="n">
        <v>32</v>
      </c>
      <c r="AJ6" s="37" t="n">
        <v>33</v>
      </c>
      <c r="AK6" s="37" t="n">
        <v>34</v>
      </c>
      <c r="AL6" s="37" t="n">
        <v>35</v>
      </c>
      <c r="AM6" s="37" t="n">
        <v>36</v>
      </c>
      <c r="AN6" s="37" t="n">
        <v>37</v>
      </c>
      <c r="AO6" s="37" t="n">
        <v>38</v>
      </c>
      <c r="AP6" s="37" t="n">
        <v>39</v>
      </c>
      <c r="AQ6" s="3"/>
    </row>
    <row r="7" customFormat="false" ht="15" hidden="false" customHeight="false" outlineLevel="0" collapsed="false">
      <c r="B7" s="38" t="s">
        <v>81</v>
      </c>
      <c r="C7" s="7"/>
      <c r="D7" s="39" t="n">
        <f aca="false">EDATE('Industrial Gross Ex Assump'!$D$11,0)</f>
        <v>46023</v>
      </c>
      <c r="E7" s="39" t="n">
        <f aca="false">EDATE('Industrial Gross Ex Assump'!$D$11,1)</f>
        <v>46054</v>
      </c>
      <c r="F7" s="39" t="n">
        <f aca="false">EDATE('Industrial Gross Ex Assump'!$D$11,2)</f>
        <v>46082</v>
      </c>
      <c r="G7" s="39" t="n">
        <f aca="false">EDATE('Industrial Gross Ex Assump'!$D$11,3)</f>
        <v>46113</v>
      </c>
      <c r="H7" s="39" t="n">
        <f aca="false">EDATE('Industrial Gross Ex Assump'!$D$11,4)</f>
        <v>46143</v>
      </c>
      <c r="I7" s="39" t="n">
        <f aca="false">EDATE('Industrial Gross Ex Assump'!$D$11,5)</f>
        <v>46174</v>
      </c>
      <c r="J7" s="39" t="n">
        <f aca="false">EDATE('Industrial Gross Ex Assump'!$D$11,6)</f>
        <v>46204</v>
      </c>
      <c r="K7" s="39" t="n">
        <f aca="false">EDATE('Industrial Gross Ex Assump'!$D$11,7)</f>
        <v>46235</v>
      </c>
      <c r="L7" s="39" t="n">
        <f aca="false">EDATE('Industrial Gross Ex Assump'!$D$11,8)</f>
        <v>46266</v>
      </c>
      <c r="M7" s="39" t="n">
        <f aca="false">EDATE('Industrial Gross Ex Assump'!$D$11,9)</f>
        <v>46296</v>
      </c>
      <c r="N7" s="39" t="n">
        <f aca="false">EDATE('Industrial Gross Ex Assump'!$D$11,10)</f>
        <v>46327</v>
      </c>
      <c r="O7" s="39" t="n">
        <f aca="false">EDATE('Industrial Gross Ex Assump'!$D$11,11)</f>
        <v>46357</v>
      </c>
      <c r="P7" s="39" t="n">
        <f aca="false">EDATE('Industrial Gross Ex Assump'!$D$11,12)</f>
        <v>46388</v>
      </c>
      <c r="Q7" s="39" t="n">
        <f aca="false">EDATE('Industrial Gross Ex Assump'!$D$11,13)</f>
        <v>46419</v>
      </c>
      <c r="R7" s="39" t="n">
        <f aca="false">EDATE('Industrial Gross Ex Assump'!$D$11,14)</f>
        <v>46447</v>
      </c>
      <c r="S7" s="39" t="n">
        <f aca="false">EDATE('Industrial Gross Ex Assump'!$D$11,15)</f>
        <v>46478</v>
      </c>
      <c r="T7" s="39" t="n">
        <f aca="false">EDATE('Industrial Gross Ex Assump'!$D$11,16)</f>
        <v>46508</v>
      </c>
      <c r="U7" s="39" t="n">
        <f aca="false">EDATE('Industrial Gross Ex Assump'!$D$11,17)</f>
        <v>46539</v>
      </c>
      <c r="V7" s="39" t="n">
        <f aca="false">EDATE('Industrial Gross Ex Assump'!$D$11,18)</f>
        <v>46569</v>
      </c>
      <c r="W7" s="39" t="n">
        <f aca="false">EDATE('Industrial Gross Ex Assump'!$D$11,19)</f>
        <v>46600</v>
      </c>
      <c r="X7" s="39" t="n">
        <f aca="false">EDATE('Industrial Gross Ex Assump'!$D$11,20)</f>
        <v>46631</v>
      </c>
      <c r="Y7" s="39" t="n">
        <f aca="false">EDATE('Industrial Gross Ex Assump'!$D$11,21)</f>
        <v>46661</v>
      </c>
      <c r="Z7" s="39" t="n">
        <f aca="false">EDATE('Industrial Gross Ex Assump'!$D$11,22)</f>
        <v>46692</v>
      </c>
      <c r="AA7" s="39" t="n">
        <f aca="false">EDATE('Industrial Gross Ex Assump'!$D$11,23)</f>
        <v>46722</v>
      </c>
      <c r="AB7" s="39" t="n">
        <f aca="false">EDATE('Industrial Gross Ex Assump'!$D$11,24)</f>
        <v>46753</v>
      </c>
      <c r="AC7" s="39" t="n">
        <f aca="false">EDATE('Industrial Gross Ex Assump'!$D$11,25)</f>
        <v>46784</v>
      </c>
      <c r="AD7" s="39" t="n">
        <f aca="false">EDATE('Industrial Gross Ex Assump'!$D$11,26)</f>
        <v>46813</v>
      </c>
      <c r="AE7" s="39" t="n">
        <f aca="false">EDATE('Industrial Gross Ex Assump'!$D$11,27)</f>
        <v>46844</v>
      </c>
      <c r="AF7" s="39" t="n">
        <f aca="false">EDATE('Industrial Gross Ex Assump'!$D$11,28)</f>
        <v>46874</v>
      </c>
      <c r="AG7" s="39" t="n">
        <f aca="false">EDATE('Industrial Gross Ex Assump'!$D$11,29)</f>
        <v>46905</v>
      </c>
      <c r="AH7" s="39" t="n">
        <f aca="false">EDATE('Industrial Gross Ex Assump'!$D$11,30)</f>
        <v>46935</v>
      </c>
      <c r="AI7" s="39" t="n">
        <f aca="false">EDATE('Industrial Gross Ex Assump'!$D$11,31)</f>
        <v>46966</v>
      </c>
      <c r="AJ7" s="39" t="n">
        <f aca="false">EDATE('Industrial Gross Ex Assump'!$D$11,32)</f>
        <v>46997</v>
      </c>
      <c r="AK7" s="39" t="n">
        <f aca="false">EDATE('Industrial Gross Ex Assump'!$D$11,33)</f>
        <v>47027</v>
      </c>
      <c r="AL7" s="39" t="n">
        <f aca="false">EDATE('Industrial Gross Ex Assump'!$D$11,34)</f>
        <v>47058</v>
      </c>
      <c r="AM7" s="39" t="n">
        <f aca="false">EDATE('Industrial Gross Ex Assump'!$D$11,35)</f>
        <v>47088</v>
      </c>
      <c r="AN7" s="39" t="n">
        <f aca="false">EDATE('Industrial Gross Ex Assump'!$D$11,36)</f>
        <v>47119</v>
      </c>
      <c r="AO7" s="39" t="n">
        <f aca="false">EDATE('Industrial Gross Ex Assump'!$D$11,37)</f>
        <v>47150</v>
      </c>
      <c r="AP7" s="39" t="n">
        <f aca="false">EDATE('Industrial Gross Ex Assump'!$D$11,38)</f>
        <v>47178</v>
      </c>
      <c r="AQ7" s="40"/>
    </row>
    <row r="9" customFormat="false" ht="18" hidden="false" customHeight="true" outlineLevel="0" collapsed="false">
      <c r="B9" s="6" t="s">
        <v>58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</row>
    <row r="10" customFormat="false" ht="15" hidden="false" customHeight="false" outlineLevel="0" collapsed="false">
      <c r="B10" s="8" t="s">
        <v>82</v>
      </c>
      <c r="C10" s="15"/>
      <c r="D10" s="41" t="n">
        <f aca="false">'Industrial Gross Ex Assump'!$D$9*'Industrial Gross Ex Assump'!$D$38/12</f>
        <v>37500</v>
      </c>
      <c r="E10" s="41" t="n">
        <f aca="false">'Industrial Gross Ex Assump'!$D$9*'Industrial Gross Ex Assump'!$D$38/12</f>
        <v>37500</v>
      </c>
      <c r="F10" s="41" t="n">
        <f aca="false">'Industrial Gross Ex Assump'!$D$9*'Industrial Gross Ex Assump'!$D$38/12</f>
        <v>37500</v>
      </c>
      <c r="G10" s="41" t="n">
        <f aca="false">'Industrial Gross Ex Assump'!$D$9*'Industrial Gross Ex Assump'!$D$38/12</f>
        <v>37500</v>
      </c>
      <c r="H10" s="41" t="n">
        <f aca="false">'Industrial Gross Ex Assump'!$D$9*'Industrial Gross Ex Assump'!$D$38/12</f>
        <v>37500</v>
      </c>
      <c r="I10" s="41" t="n">
        <f aca="false">'Industrial Gross Ex Assump'!$D$9*'Industrial Gross Ex Assump'!$D$38/12</f>
        <v>37500</v>
      </c>
      <c r="J10" s="41" t="n">
        <f aca="false">'Industrial Gross Ex Assump'!$D$9*'Industrial Gross Ex Assump'!$D$38/12</f>
        <v>37500</v>
      </c>
      <c r="K10" s="41" t="n">
        <f aca="false">'Industrial Gross Ex Assump'!$D$9*'Industrial Gross Ex Assump'!$D$38/12</f>
        <v>37500</v>
      </c>
      <c r="L10" s="41" t="n">
        <f aca="false">'Industrial Gross Ex Assump'!$D$9*'Industrial Gross Ex Assump'!$D$38/12</f>
        <v>37500</v>
      </c>
      <c r="M10" s="41" t="n">
        <f aca="false">'Industrial Gross Ex Assump'!$D$9*'Industrial Gross Ex Assump'!$D$38/12</f>
        <v>37500</v>
      </c>
      <c r="N10" s="41" t="n">
        <f aca="false">'Industrial Gross Ex Assump'!$D$9*'Industrial Gross Ex Assump'!$D$38/12</f>
        <v>37500</v>
      </c>
      <c r="O10" s="41" t="n">
        <f aca="false">'Industrial Gross Ex Assump'!$D$9*'Industrial Gross Ex Assump'!$D$38/12</f>
        <v>37500</v>
      </c>
      <c r="P10" s="41" t="n">
        <f aca="false">'Industrial Gross Ex Assump'!$D$9*'Industrial Gross Ex Assump'!$D$39/12</f>
        <v>38812.5</v>
      </c>
      <c r="Q10" s="41" t="n">
        <f aca="false">'Industrial Gross Ex Assump'!$D$9*'Industrial Gross Ex Assump'!$D$39/12</f>
        <v>38812.5</v>
      </c>
      <c r="R10" s="41" t="n">
        <f aca="false">'Industrial Gross Ex Assump'!$D$9*'Industrial Gross Ex Assump'!$D$39/12</f>
        <v>38812.5</v>
      </c>
      <c r="S10" s="41" t="n">
        <f aca="false">'Industrial Gross Ex Assump'!$D$9*'Industrial Gross Ex Assump'!$D$39/12</f>
        <v>38812.5</v>
      </c>
      <c r="T10" s="41" t="n">
        <f aca="false">'Industrial Gross Ex Assump'!$D$9*'Industrial Gross Ex Assump'!$D$39/12</f>
        <v>38812.5</v>
      </c>
      <c r="U10" s="41" t="n">
        <f aca="false">'Industrial Gross Ex Assump'!$D$9*'Industrial Gross Ex Assump'!$D$39/12</f>
        <v>38812.5</v>
      </c>
      <c r="V10" s="41" t="n">
        <f aca="false">'Industrial Gross Ex Assump'!$D$9*'Industrial Gross Ex Assump'!$D$39/12</f>
        <v>38812.5</v>
      </c>
      <c r="W10" s="41" t="n">
        <f aca="false">'Industrial Gross Ex Assump'!$D$9*'Industrial Gross Ex Assump'!$D$39/12</f>
        <v>38812.5</v>
      </c>
      <c r="X10" s="41" t="n">
        <f aca="false">'Industrial Gross Ex Assump'!$D$9*'Industrial Gross Ex Assump'!$D$39/12</f>
        <v>38812.5</v>
      </c>
      <c r="Y10" s="41" t="n">
        <f aca="false">'Industrial Gross Ex Assump'!$D$9*'Industrial Gross Ex Assump'!$D$39/12</f>
        <v>38812.5</v>
      </c>
      <c r="Z10" s="41" t="n">
        <f aca="false">'Industrial Gross Ex Assump'!$D$9*'Industrial Gross Ex Assump'!$D$39/12</f>
        <v>38812.5</v>
      </c>
      <c r="AA10" s="41" t="n">
        <f aca="false">'Industrial Gross Ex Assump'!$D$9*'Industrial Gross Ex Assump'!$D$39/12</f>
        <v>38812.5</v>
      </c>
      <c r="AB10" s="41" t="n">
        <f aca="false">'Industrial Gross Ex Assump'!$D$9*'Industrial Gross Ex Assump'!$D$40/12</f>
        <v>40170.9375</v>
      </c>
      <c r="AC10" s="41" t="n">
        <f aca="false">'Industrial Gross Ex Assump'!$D$9*'Industrial Gross Ex Assump'!$D$40/12</f>
        <v>40170.9375</v>
      </c>
      <c r="AD10" s="41" t="n">
        <f aca="false">'Industrial Gross Ex Assump'!$D$9*'Industrial Gross Ex Assump'!$D$40/12</f>
        <v>40170.9375</v>
      </c>
      <c r="AE10" s="41" t="n">
        <f aca="false">'Industrial Gross Ex Assump'!$D$9*'Industrial Gross Ex Assump'!$D$40/12</f>
        <v>40170.9375</v>
      </c>
      <c r="AF10" s="41" t="n">
        <f aca="false">'Industrial Gross Ex Assump'!$D$9*'Industrial Gross Ex Assump'!$D$40/12</f>
        <v>40170.9375</v>
      </c>
      <c r="AG10" s="41" t="n">
        <f aca="false">'Industrial Gross Ex Assump'!$D$9*'Industrial Gross Ex Assump'!$D$40/12</f>
        <v>40170.9375</v>
      </c>
      <c r="AH10" s="41" t="n">
        <f aca="false">'Industrial Gross Ex Assump'!$D$9*'Industrial Gross Ex Assump'!$D$40/12</f>
        <v>40170.9375</v>
      </c>
      <c r="AI10" s="41" t="n">
        <f aca="false">'Industrial Gross Ex Assump'!$D$9*'Industrial Gross Ex Assump'!$D$40/12</f>
        <v>40170.9375</v>
      </c>
      <c r="AJ10" s="41" t="n">
        <f aca="false">'Industrial Gross Ex Assump'!$D$9*'Industrial Gross Ex Assump'!$D$40/12</f>
        <v>40170.9375</v>
      </c>
      <c r="AK10" s="41" t="n">
        <f aca="false">'Industrial Gross Ex Assump'!$D$9*'Industrial Gross Ex Assump'!$D$40/12</f>
        <v>40170.9375</v>
      </c>
      <c r="AL10" s="41" t="n">
        <f aca="false">'Industrial Gross Ex Assump'!$D$9*'Industrial Gross Ex Assump'!$D$40/12</f>
        <v>40170.9375</v>
      </c>
      <c r="AM10" s="41" t="n">
        <f aca="false">'Industrial Gross Ex Assump'!$D$9*'Industrial Gross Ex Assump'!$D$40/12</f>
        <v>40170.9375</v>
      </c>
      <c r="AN10" s="41" t="n">
        <f aca="false">'Industrial Gross Ex Assump'!$D$9*'Industrial Gross Ex Assump'!$D$41/12</f>
        <v>41576.9203125</v>
      </c>
      <c r="AO10" s="41" t="n">
        <f aca="false">'Industrial Gross Ex Assump'!$D$9*'Industrial Gross Ex Assump'!$D$41/12</f>
        <v>41576.9203125</v>
      </c>
      <c r="AP10" s="41" t="n">
        <f aca="false">'Industrial Gross Ex Assump'!$D$9*'Industrial Gross Ex Assump'!$D$41/12</f>
        <v>41576.9203125</v>
      </c>
      <c r="AQ10" s="42" t="n">
        <f aca="false">SUM(D10:AP10)</f>
        <v>1522532.0109375</v>
      </c>
    </row>
    <row r="11" customFormat="false" ht="15" hidden="false" customHeight="false" outlineLevel="0" collapsed="false">
      <c r="B11" s="8" t="s">
        <v>83</v>
      </c>
      <c r="C11" s="15"/>
      <c r="D11" s="41" t="n">
        <f aca="false">IF(1&lt;='Industrial Gross Ex Assump'!$D$13,-D10,0)</f>
        <v>-37500</v>
      </c>
      <c r="E11" s="41" t="n">
        <f aca="false">IF(2&lt;='Industrial Gross Ex Assump'!$D$13,-E10,0)</f>
        <v>-37500</v>
      </c>
      <c r="F11" s="41" t="n">
        <f aca="false">IF(3&lt;='Industrial Gross Ex Assump'!$D$13,-F10,0)</f>
        <v>0</v>
      </c>
      <c r="G11" s="41" t="n">
        <f aca="false">IF(4&lt;='Industrial Gross Ex Assump'!$D$13,-G10,0)</f>
        <v>0</v>
      </c>
      <c r="H11" s="41" t="n">
        <f aca="false">IF(5&lt;='Industrial Gross Ex Assump'!$D$13,-H10,0)</f>
        <v>0</v>
      </c>
      <c r="I11" s="41" t="n">
        <f aca="false">IF(6&lt;='Industrial Gross Ex Assump'!$D$13,-I10,0)</f>
        <v>0</v>
      </c>
      <c r="J11" s="41" t="n">
        <f aca="false">IF(7&lt;='Industrial Gross Ex Assump'!$D$13,-J10,0)</f>
        <v>0</v>
      </c>
      <c r="K11" s="41" t="n">
        <f aca="false">IF(8&lt;='Industrial Gross Ex Assump'!$D$13,-K10,0)</f>
        <v>0</v>
      </c>
      <c r="L11" s="41" t="n">
        <f aca="false">IF(9&lt;='Industrial Gross Ex Assump'!$D$13,-L10,0)</f>
        <v>0</v>
      </c>
      <c r="M11" s="41" t="n">
        <f aca="false">IF(10&lt;='Industrial Gross Ex Assump'!$D$13,-M10,0)</f>
        <v>0</v>
      </c>
      <c r="N11" s="41" t="n">
        <f aca="false">IF(11&lt;='Industrial Gross Ex Assump'!$D$13,-N10,0)</f>
        <v>0</v>
      </c>
      <c r="O11" s="41" t="n">
        <f aca="false">IF(12&lt;='Industrial Gross Ex Assump'!$D$13,-O10,0)</f>
        <v>0</v>
      </c>
      <c r="P11" s="41" t="n">
        <f aca="false">IF(13&lt;='Industrial Gross Ex Assump'!$D$13,-P10,0)</f>
        <v>0</v>
      </c>
      <c r="Q11" s="41" t="n">
        <f aca="false">IF(14&lt;='Industrial Gross Ex Assump'!$D$13,-Q10,0)</f>
        <v>0</v>
      </c>
      <c r="R11" s="41" t="n">
        <f aca="false">IF(15&lt;='Industrial Gross Ex Assump'!$D$13,-R10,0)</f>
        <v>0</v>
      </c>
      <c r="S11" s="41" t="n">
        <f aca="false">IF(16&lt;='Industrial Gross Ex Assump'!$D$13,-S10,0)</f>
        <v>0</v>
      </c>
      <c r="T11" s="41" t="n">
        <f aca="false">IF(17&lt;='Industrial Gross Ex Assump'!$D$13,-T10,0)</f>
        <v>0</v>
      </c>
      <c r="U11" s="41" t="n">
        <f aca="false">IF(18&lt;='Industrial Gross Ex Assump'!$D$13,-U10,0)</f>
        <v>0</v>
      </c>
      <c r="V11" s="41" t="n">
        <f aca="false">IF(19&lt;='Industrial Gross Ex Assump'!$D$13,-V10,0)</f>
        <v>0</v>
      </c>
      <c r="W11" s="41" t="n">
        <f aca="false">IF(20&lt;='Industrial Gross Ex Assump'!$D$13,-W10,0)</f>
        <v>0</v>
      </c>
      <c r="X11" s="41" t="n">
        <f aca="false">IF(21&lt;='Industrial Gross Ex Assump'!$D$13,-X10,0)</f>
        <v>0</v>
      </c>
      <c r="Y11" s="41" t="n">
        <f aca="false">IF(22&lt;='Industrial Gross Ex Assump'!$D$13,-Y10,0)</f>
        <v>0</v>
      </c>
      <c r="Z11" s="41" t="n">
        <f aca="false">IF(23&lt;='Industrial Gross Ex Assump'!$D$13,-Z10,0)</f>
        <v>0</v>
      </c>
      <c r="AA11" s="41" t="n">
        <f aca="false">IF(24&lt;='Industrial Gross Ex Assump'!$D$13,-AA10,0)</f>
        <v>0</v>
      </c>
      <c r="AB11" s="41" t="n">
        <f aca="false">IF(25&lt;='Industrial Gross Ex Assump'!$D$13,-AB10,0)</f>
        <v>0</v>
      </c>
      <c r="AC11" s="41" t="n">
        <f aca="false">IF(26&lt;='Industrial Gross Ex Assump'!$D$13,-AC10,0)</f>
        <v>0</v>
      </c>
      <c r="AD11" s="41" t="n">
        <f aca="false">IF(27&lt;='Industrial Gross Ex Assump'!$D$13,-AD10,0)</f>
        <v>0</v>
      </c>
      <c r="AE11" s="41" t="n">
        <f aca="false">IF(28&lt;='Industrial Gross Ex Assump'!$D$13,-AE10,0)</f>
        <v>0</v>
      </c>
      <c r="AF11" s="41" t="n">
        <f aca="false">IF(29&lt;='Industrial Gross Ex Assump'!$D$13,-AF10,0)</f>
        <v>0</v>
      </c>
      <c r="AG11" s="41" t="n">
        <f aca="false">IF(30&lt;='Industrial Gross Ex Assump'!$D$13,-AG10,0)</f>
        <v>0</v>
      </c>
      <c r="AH11" s="41" t="n">
        <f aca="false">IF(31&lt;='Industrial Gross Ex Assump'!$D$13,-AH10,0)</f>
        <v>0</v>
      </c>
      <c r="AI11" s="41" t="n">
        <f aca="false">IF(32&lt;='Industrial Gross Ex Assump'!$D$13,-AI10,0)</f>
        <v>0</v>
      </c>
      <c r="AJ11" s="41" t="n">
        <f aca="false">IF(33&lt;='Industrial Gross Ex Assump'!$D$13,-AJ10,0)</f>
        <v>0</v>
      </c>
      <c r="AK11" s="41" t="n">
        <f aca="false">IF(34&lt;='Industrial Gross Ex Assump'!$D$13,-AK10,0)</f>
        <v>0</v>
      </c>
      <c r="AL11" s="41" t="n">
        <f aca="false">IF(35&lt;='Industrial Gross Ex Assump'!$D$13,-AL10,0)</f>
        <v>0</v>
      </c>
      <c r="AM11" s="41" t="n">
        <f aca="false">IF(36&lt;='Industrial Gross Ex Assump'!$D$13,-AM10,0)</f>
        <v>0</v>
      </c>
      <c r="AN11" s="41" t="n">
        <f aca="false">IF(37&lt;='Industrial Gross Ex Assump'!$D$13,-AN10,0)</f>
        <v>0</v>
      </c>
      <c r="AO11" s="41" t="n">
        <f aca="false">IF(38&lt;='Industrial Gross Ex Assump'!$D$13,-AO10,0)</f>
        <v>0</v>
      </c>
      <c r="AP11" s="41" t="n">
        <f aca="false">IF(39&lt;='Industrial Gross Ex Assump'!$D$13,-AP10,0)</f>
        <v>0</v>
      </c>
      <c r="AQ11" s="42" t="n">
        <f aca="false">SUM(D11:AP11)</f>
        <v>-75000</v>
      </c>
    </row>
    <row r="12" customFormat="false" ht="15" hidden="false" customHeight="false" outlineLevel="0" collapsed="false">
      <c r="B12" s="8" t="s">
        <v>84</v>
      </c>
      <c r="C12" s="15"/>
      <c r="D12" s="41" t="n">
        <f aca="false">-'Industrial Gross Ex Assump'!$D$9*'Industrial Gross Ex Assump'!$D$32</f>
        <v>-0</v>
      </c>
      <c r="E12" s="41" t="n">
        <f aca="false">0</f>
        <v>0</v>
      </c>
      <c r="F12" s="41" t="n">
        <f aca="false">0</f>
        <v>0</v>
      </c>
      <c r="G12" s="41" t="n">
        <f aca="false">0</f>
        <v>0</v>
      </c>
      <c r="H12" s="41" t="n">
        <f aca="false">0</f>
        <v>0</v>
      </c>
      <c r="I12" s="41" t="n">
        <f aca="false">0</f>
        <v>0</v>
      </c>
      <c r="J12" s="41" t="n">
        <f aca="false">0</f>
        <v>0</v>
      </c>
      <c r="K12" s="41" t="n">
        <f aca="false">0</f>
        <v>0</v>
      </c>
      <c r="L12" s="41" t="n">
        <f aca="false">0</f>
        <v>0</v>
      </c>
      <c r="M12" s="41" t="n">
        <f aca="false">0</f>
        <v>0</v>
      </c>
      <c r="N12" s="41" t="n">
        <f aca="false">0</f>
        <v>0</v>
      </c>
      <c r="O12" s="41" t="n">
        <f aca="false">0</f>
        <v>0</v>
      </c>
      <c r="P12" s="41" t="n">
        <f aca="false">0</f>
        <v>0</v>
      </c>
      <c r="Q12" s="41" t="n">
        <f aca="false">0</f>
        <v>0</v>
      </c>
      <c r="R12" s="41" t="n">
        <f aca="false">0</f>
        <v>0</v>
      </c>
      <c r="S12" s="41" t="n">
        <f aca="false">0</f>
        <v>0</v>
      </c>
      <c r="T12" s="41" t="n">
        <f aca="false">0</f>
        <v>0</v>
      </c>
      <c r="U12" s="41" t="n">
        <f aca="false">0</f>
        <v>0</v>
      </c>
      <c r="V12" s="41" t="n">
        <f aca="false">0</f>
        <v>0</v>
      </c>
      <c r="W12" s="41" t="n">
        <f aca="false">0</f>
        <v>0</v>
      </c>
      <c r="X12" s="41" t="n">
        <f aca="false">0</f>
        <v>0</v>
      </c>
      <c r="Y12" s="41" t="n">
        <f aca="false">0</f>
        <v>0</v>
      </c>
      <c r="Z12" s="41" t="n">
        <f aca="false">0</f>
        <v>0</v>
      </c>
      <c r="AA12" s="41" t="n">
        <f aca="false">0</f>
        <v>0</v>
      </c>
      <c r="AB12" s="41" t="n">
        <f aca="false">0</f>
        <v>0</v>
      </c>
      <c r="AC12" s="41" t="n">
        <f aca="false">0</f>
        <v>0</v>
      </c>
      <c r="AD12" s="41" t="n">
        <f aca="false">0</f>
        <v>0</v>
      </c>
      <c r="AE12" s="41" t="n">
        <f aca="false">0</f>
        <v>0</v>
      </c>
      <c r="AF12" s="41" t="n">
        <f aca="false">0</f>
        <v>0</v>
      </c>
      <c r="AG12" s="41" t="n">
        <f aca="false">0</f>
        <v>0</v>
      </c>
      <c r="AH12" s="41" t="n">
        <f aca="false">0</f>
        <v>0</v>
      </c>
      <c r="AI12" s="41" t="n">
        <f aca="false">0</f>
        <v>0</v>
      </c>
      <c r="AJ12" s="41" t="n">
        <f aca="false">0</f>
        <v>0</v>
      </c>
      <c r="AK12" s="41" t="n">
        <f aca="false">0</f>
        <v>0</v>
      </c>
      <c r="AL12" s="41" t="n">
        <f aca="false">0</f>
        <v>0</v>
      </c>
      <c r="AM12" s="41" t="n">
        <f aca="false">0</f>
        <v>0</v>
      </c>
      <c r="AN12" s="41" t="n">
        <f aca="false">0</f>
        <v>0</v>
      </c>
      <c r="AO12" s="41" t="n">
        <f aca="false">0</f>
        <v>0</v>
      </c>
      <c r="AP12" s="41" t="n">
        <f aca="false">0</f>
        <v>0</v>
      </c>
      <c r="AQ12" s="42" t="n">
        <f aca="false">SUM(D12:AP12)</f>
        <v>0</v>
      </c>
    </row>
    <row r="13" customFormat="false" ht="15" hidden="false" customHeight="false" outlineLevel="0" collapsed="false">
      <c r="B13" s="43" t="s">
        <v>61</v>
      </c>
      <c r="D13" s="44" t="n">
        <f aca="false">IF(D11&lt;&gt;0,0,D10*'Industrial Gross Ex Assump'!$D$19)</f>
        <v>0</v>
      </c>
      <c r="E13" s="44" t="n">
        <f aca="false">IF(E11&lt;&gt;0,0,E10*'Industrial Gross Ex Assump'!$D$19)</f>
        <v>0</v>
      </c>
      <c r="F13" s="44" t="n">
        <f aca="false">IF(F11&lt;&gt;0,0,F10*'Industrial Gross Ex Assump'!$D$19)</f>
        <v>1312.5</v>
      </c>
      <c r="G13" s="44" t="n">
        <f aca="false">IF(G11&lt;&gt;0,0,G10*'Industrial Gross Ex Assump'!$D$19)</f>
        <v>1312.5</v>
      </c>
      <c r="H13" s="44" t="n">
        <f aca="false">IF(H11&lt;&gt;0,0,H10*'Industrial Gross Ex Assump'!$D$19)</f>
        <v>1312.5</v>
      </c>
      <c r="I13" s="44" t="n">
        <f aca="false">IF(I11&lt;&gt;0,0,I10*'Industrial Gross Ex Assump'!$D$19)</f>
        <v>1312.5</v>
      </c>
      <c r="J13" s="44" t="n">
        <f aca="false">IF(J11&lt;&gt;0,0,J10*'Industrial Gross Ex Assump'!$D$19)</f>
        <v>1312.5</v>
      </c>
      <c r="K13" s="44" t="n">
        <f aca="false">IF(K11&lt;&gt;0,0,K10*'Industrial Gross Ex Assump'!$D$19)</f>
        <v>1312.5</v>
      </c>
      <c r="L13" s="44" t="n">
        <f aca="false">IF(L11&lt;&gt;0,0,L10*'Industrial Gross Ex Assump'!$D$19)</f>
        <v>1312.5</v>
      </c>
      <c r="M13" s="44" t="n">
        <f aca="false">IF(M11&lt;&gt;0,0,M10*'Industrial Gross Ex Assump'!$D$19)</f>
        <v>1312.5</v>
      </c>
      <c r="N13" s="44" t="n">
        <f aca="false">IF(N11&lt;&gt;0,0,N10*'Industrial Gross Ex Assump'!$D$19)</f>
        <v>1312.5</v>
      </c>
      <c r="O13" s="44" t="n">
        <f aca="false">IF(O11&lt;&gt;0,0,O10*'Industrial Gross Ex Assump'!$D$19)</f>
        <v>1312.5</v>
      </c>
      <c r="P13" s="44" t="n">
        <f aca="false">IF(P11&lt;&gt;0,0,P10*'Industrial Gross Ex Assump'!$D$19)</f>
        <v>1358.4375</v>
      </c>
      <c r="Q13" s="44" t="n">
        <f aca="false">IF(Q11&lt;&gt;0,0,Q10*'Industrial Gross Ex Assump'!$D$19)</f>
        <v>1358.4375</v>
      </c>
      <c r="R13" s="44" t="n">
        <f aca="false">IF(R11&lt;&gt;0,0,R10*'Industrial Gross Ex Assump'!$D$19)</f>
        <v>1358.4375</v>
      </c>
      <c r="S13" s="44" t="n">
        <f aca="false">IF(S11&lt;&gt;0,0,S10*'Industrial Gross Ex Assump'!$D$19)</f>
        <v>1358.4375</v>
      </c>
      <c r="T13" s="44" t="n">
        <f aca="false">IF(T11&lt;&gt;0,0,T10*'Industrial Gross Ex Assump'!$D$19)</f>
        <v>1358.4375</v>
      </c>
      <c r="U13" s="44" t="n">
        <f aca="false">IF(U11&lt;&gt;0,0,U10*'Industrial Gross Ex Assump'!$D$19)</f>
        <v>1358.4375</v>
      </c>
      <c r="V13" s="44" t="n">
        <f aca="false">IF(V11&lt;&gt;0,0,V10*'Industrial Gross Ex Assump'!$D$19)</f>
        <v>1358.4375</v>
      </c>
      <c r="W13" s="44" t="n">
        <f aca="false">IF(W11&lt;&gt;0,0,W10*'Industrial Gross Ex Assump'!$D$19)</f>
        <v>1358.4375</v>
      </c>
      <c r="X13" s="44" t="n">
        <f aca="false">IF(X11&lt;&gt;0,0,X10*'Industrial Gross Ex Assump'!$D$19)</f>
        <v>1358.4375</v>
      </c>
      <c r="Y13" s="44" t="n">
        <f aca="false">IF(Y11&lt;&gt;0,0,Y10*'Industrial Gross Ex Assump'!$D$19)</f>
        <v>1358.4375</v>
      </c>
      <c r="Z13" s="44" t="n">
        <f aca="false">IF(Z11&lt;&gt;0,0,Z10*'Industrial Gross Ex Assump'!$D$19)</f>
        <v>1358.4375</v>
      </c>
      <c r="AA13" s="44" t="n">
        <f aca="false">IF(AA11&lt;&gt;0,0,AA10*'Industrial Gross Ex Assump'!$D$19)</f>
        <v>1358.4375</v>
      </c>
      <c r="AB13" s="44" t="n">
        <f aca="false">IF(AB11&lt;&gt;0,0,AB10*'Industrial Gross Ex Assump'!$D$19)</f>
        <v>1405.9828125</v>
      </c>
      <c r="AC13" s="44" t="n">
        <f aca="false">IF(AC11&lt;&gt;0,0,AC10*'Industrial Gross Ex Assump'!$D$19)</f>
        <v>1405.9828125</v>
      </c>
      <c r="AD13" s="44" t="n">
        <f aca="false">IF(AD11&lt;&gt;0,0,AD10*'Industrial Gross Ex Assump'!$D$19)</f>
        <v>1405.9828125</v>
      </c>
      <c r="AE13" s="44" t="n">
        <f aca="false">IF(AE11&lt;&gt;0,0,AE10*'Industrial Gross Ex Assump'!$D$19)</f>
        <v>1405.9828125</v>
      </c>
      <c r="AF13" s="44" t="n">
        <f aca="false">IF(AF11&lt;&gt;0,0,AF10*'Industrial Gross Ex Assump'!$D$19)</f>
        <v>1405.9828125</v>
      </c>
      <c r="AG13" s="44" t="n">
        <f aca="false">IF(AG11&lt;&gt;0,0,AG10*'Industrial Gross Ex Assump'!$D$19)</f>
        <v>1405.9828125</v>
      </c>
      <c r="AH13" s="44" t="n">
        <f aca="false">IF(AH11&lt;&gt;0,0,AH10*'Industrial Gross Ex Assump'!$D$19)</f>
        <v>1405.9828125</v>
      </c>
      <c r="AI13" s="44" t="n">
        <f aca="false">IF(AI11&lt;&gt;0,0,AI10*'Industrial Gross Ex Assump'!$D$19)</f>
        <v>1405.9828125</v>
      </c>
      <c r="AJ13" s="44" t="n">
        <f aca="false">IF(AJ11&lt;&gt;0,0,AJ10*'Industrial Gross Ex Assump'!$D$19)</f>
        <v>1405.9828125</v>
      </c>
      <c r="AK13" s="44" t="n">
        <f aca="false">IF(AK11&lt;&gt;0,0,AK10*'Industrial Gross Ex Assump'!$D$19)</f>
        <v>1405.9828125</v>
      </c>
      <c r="AL13" s="44" t="n">
        <f aca="false">IF(AL11&lt;&gt;0,0,AL10*'Industrial Gross Ex Assump'!$D$19)</f>
        <v>1405.9828125</v>
      </c>
      <c r="AM13" s="44" t="n">
        <f aca="false">IF(AM11&lt;&gt;0,0,AM10*'Industrial Gross Ex Assump'!$D$19)</f>
        <v>1405.9828125</v>
      </c>
      <c r="AN13" s="44" t="n">
        <f aca="false">IF(AN11&lt;&gt;0,0,AN10*'Industrial Gross Ex Assump'!$D$19)</f>
        <v>1455.1922109375</v>
      </c>
      <c r="AO13" s="44" t="n">
        <f aca="false">IF(AO11&lt;&gt;0,0,AO10*'Industrial Gross Ex Assump'!$D$19)</f>
        <v>1455.1922109375</v>
      </c>
      <c r="AP13" s="44" t="n">
        <f aca="false">IF(AP11&lt;&gt;0,0,AP10*'Industrial Gross Ex Assump'!$D$19)</f>
        <v>1455.1922109375</v>
      </c>
      <c r="AQ13" s="45" t="n">
        <f aca="false">SUM(D13:AP13)</f>
        <v>50663.6203828125</v>
      </c>
    </row>
    <row r="14" customFormat="false" ht="15" hidden="false" customHeight="false" outlineLevel="0" collapsed="false">
      <c r="B14" s="17" t="s">
        <v>85</v>
      </c>
      <c r="C14" s="23"/>
      <c r="D14" s="46" t="n">
        <f aca="false">D10+D11+D12+D13</f>
        <v>0</v>
      </c>
      <c r="E14" s="46" t="n">
        <f aca="false">E10+E11+E12+E13</f>
        <v>0</v>
      </c>
      <c r="F14" s="46" t="n">
        <f aca="false">F10+F11+F12+F13</f>
        <v>38812.5</v>
      </c>
      <c r="G14" s="46" t="n">
        <f aca="false">G10+G11+G12+G13</f>
        <v>38812.5</v>
      </c>
      <c r="H14" s="46" t="n">
        <f aca="false">H10+H11+H12+H13</f>
        <v>38812.5</v>
      </c>
      <c r="I14" s="46" t="n">
        <f aca="false">I10+I11+I12+I13</f>
        <v>38812.5</v>
      </c>
      <c r="J14" s="46" t="n">
        <f aca="false">J10+J11+J12+J13</f>
        <v>38812.5</v>
      </c>
      <c r="K14" s="46" t="n">
        <f aca="false">K10+K11+K12+K13</f>
        <v>38812.5</v>
      </c>
      <c r="L14" s="46" t="n">
        <f aca="false">L10+L11+L12+L13</f>
        <v>38812.5</v>
      </c>
      <c r="M14" s="46" t="n">
        <f aca="false">M10+M11+M12+M13</f>
        <v>38812.5</v>
      </c>
      <c r="N14" s="46" t="n">
        <f aca="false">N10+N11+N12+N13</f>
        <v>38812.5</v>
      </c>
      <c r="O14" s="46" t="n">
        <f aca="false">O10+O11+O12+O13</f>
        <v>38812.5</v>
      </c>
      <c r="P14" s="46" t="n">
        <f aca="false">P10+P11+P12+P13</f>
        <v>40170.9375</v>
      </c>
      <c r="Q14" s="46" t="n">
        <f aca="false">Q10+Q11+Q12+Q13</f>
        <v>40170.9375</v>
      </c>
      <c r="R14" s="46" t="n">
        <f aca="false">R10+R11+R12+R13</f>
        <v>40170.9375</v>
      </c>
      <c r="S14" s="46" t="n">
        <f aca="false">S10+S11+S12+S13</f>
        <v>40170.9375</v>
      </c>
      <c r="T14" s="46" t="n">
        <f aca="false">T10+T11+T12+T13</f>
        <v>40170.9375</v>
      </c>
      <c r="U14" s="46" t="n">
        <f aca="false">U10+U11+U12+U13</f>
        <v>40170.9375</v>
      </c>
      <c r="V14" s="46" t="n">
        <f aca="false">V10+V11+V12+V13</f>
        <v>40170.9375</v>
      </c>
      <c r="W14" s="46" t="n">
        <f aca="false">W10+W11+W12+W13</f>
        <v>40170.9375</v>
      </c>
      <c r="X14" s="46" t="n">
        <f aca="false">X10+X11+X12+X13</f>
        <v>40170.9375</v>
      </c>
      <c r="Y14" s="46" t="n">
        <f aca="false">Y10+Y11+Y12+Y13</f>
        <v>40170.9375</v>
      </c>
      <c r="Z14" s="46" t="n">
        <f aca="false">Z10+Z11+Z12+Z13</f>
        <v>40170.9375</v>
      </c>
      <c r="AA14" s="46" t="n">
        <f aca="false">AA10+AA11+AA12+AA13</f>
        <v>40170.9375</v>
      </c>
      <c r="AB14" s="46" t="n">
        <f aca="false">AB10+AB11+AB12+AB13</f>
        <v>41576.9203125</v>
      </c>
      <c r="AC14" s="46" t="n">
        <f aca="false">AC10+AC11+AC12+AC13</f>
        <v>41576.9203125</v>
      </c>
      <c r="AD14" s="46" t="n">
        <f aca="false">AD10+AD11+AD12+AD13</f>
        <v>41576.9203125</v>
      </c>
      <c r="AE14" s="46" t="n">
        <f aca="false">AE10+AE11+AE12+AE13</f>
        <v>41576.9203125</v>
      </c>
      <c r="AF14" s="46" t="n">
        <f aca="false">AF10+AF11+AF12+AF13</f>
        <v>41576.9203125</v>
      </c>
      <c r="AG14" s="46" t="n">
        <f aca="false">AG10+AG11+AG12+AG13</f>
        <v>41576.9203125</v>
      </c>
      <c r="AH14" s="46" t="n">
        <f aca="false">AH10+AH11+AH12+AH13</f>
        <v>41576.9203125</v>
      </c>
      <c r="AI14" s="46" t="n">
        <f aca="false">AI10+AI11+AI12+AI13</f>
        <v>41576.9203125</v>
      </c>
      <c r="AJ14" s="46" t="n">
        <f aca="false">AJ10+AJ11+AJ12+AJ13</f>
        <v>41576.9203125</v>
      </c>
      <c r="AK14" s="46" t="n">
        <f aca="false">AK10+AK11+AK12+AK13</f>
        <v>41576.9203125</v>
      </c>
      <c r="AL14" s="46" t="n">
        <f aca="false">AL10+AL11+AL12+AL13</f>
        <v>41576.9203125</v>
      </c>
      <c r="AM14" s="46" t="n">
        <f aca="false">AM10+AM11+AM12+AM13</f>
        <v>41576.9203125</v>
      </c>
      <c r="AN14" s="46" t="n">
        <f aca="false">AN10+AN11+AN12+AN13</f>
        <v>43032.1125234375</v>
      </c>
      <c r="AO14" s="46" t="n">
        <f aca="false">AO10+AO11+AO12+AO13</f>
        <v>43032.1125234375</v>
      </c>
      <c r="AP14" s="46" t="n">
        <f aca="false">AP10+AP11+AP12+AP13</f>
        <v>43032.1125234375</v>
      </c>
      <c r="AQ14" s="47" t="n">
        <f aca="false">SUM(D14:AP14)</f>
        <v>1498195.63132031</v>
      </c>
    </row>
    <row r="15" customFormat="false" ht="18" hidden="false" customHeight="true" outlineLevel="0" collapsed="false">
      <c r="B15" s="6" t="s">
        <v>100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</row>
    <row r="16" customFormat="false" ht="15" hidden="false" customHeight="false" outlineLevel="0" collapsed="false">
      <c r="B16" s="8" t="s">
        <v>87</v>
      </c>
      <c r="C16" s="15"/>
      <c r="D16" s="41" t="n">
        <f aca="false">IF(D7&lt;'Industrial Gross Ex Assump'!$D$25,0,'Industrial Gross Ex Assump'!$D$9*'Industrial Gross Ex Assump'!$D$23*((1+'Industrial Gross Ex Assump'!$D$24)^(YEAR(D7)-'Industrial Gross Ex Assump'!$D$26)-1)/12)</f>
        <v>0</v>
      </c>
      <c r="E16" s="41" t="n">
        <f aca="false">IF(E7&lt;'Industrial Gross Ex Assump'!$D$25,0,'Industrial Gross Ex Assump'!$D$9*'Industrial Gross Ex Assump'!$D$23*((1+'Industrial Gross Ex Assump'!$D$24)^(YEAR(E7)-'Industrial Gross Ex Assump'!$D$26)-1)/12)</f>
        <v>0</v>
      </c>
      <c r="F16" s="41" t="n">
        <f aca="false">IF(F7&lt;'Industrial Gross Ex Assump'!$D$25,0,'Industrial Gross Ex Assump'!$D$9*'Industrial Gross Ex Assump'!$D$23*((1+'Industrial Gross Ex Assump'!$D$24)^(YEAR(F7)-'Industrial Gross Ex Assump'!$D$26)-1)/12)</f>
        <v>0</v>
      </c>
      <c r="G16" s="41" t="n">
        <f aca="false">IF(G7&lt;'Industrial Gross Ex Assump'!$D$25,0,'Industrial Gross Ex Assump'!$D$9*'Industrial Gross Ex Assump'!$D$23*((1+'Industrial Gross Ex Assump'!$D$24)^(YEAR(G7)-'Industrial Gross Ex Assump'!$D$26)-1)/12)</f>
        <v>0</v>
      </c>
      <c r="H16" s="41" t="n">
        <f aca="false">IF(H7&lt;'Industrial Gross Ex Assump'!$D$25,0,'Industrial Gross Ex Assump'!$D$9*'Industrial Gross Ex Assump'!$D$23*((1+'Industrial Gross Ex Assump'!$D$24)^(YEAR(H7)-'Industrial Gross Ex Assump'!$D$26)-1)/12)</f>
        <v>0</v>
      </c>
      <c r="I16" s="41" t="n">
        <f aca="false">IF(I7&lt;'Industrial Gross Ex Assump'!$D$25,0,'Industrial Gross Ex Assump'!$D$9*'Industrial Gross Ex Assump'!$D$23*((1+'Industrial Gross Ex Assump'!$D$24)^(YEAR(I7)-'Industrial Gross Ex Assump'!$D$26)-1)/12)</f>
        <v>0</v>
      </c>
      <c r="J16" s="41" t="n">
        <f aca="false">IF(J7&lt;'Industrial Gross Ex Assump'!$D$25,0,'Industrial Gross Ex Assump'!$D$9*'Industrial Gross Ex Assump'!$D$23*((1+'Industrial Gross Ex Assump'!$D$24)^(YEAR(J7)-'Industrial Gross Ex Assump'!$D$26)-1)/12)</f>
        <v>0</v>
      </c>
      <c r="K16" s="41" t="n">
        <f aca="false">IF(K7&lt;'Industrial Gross Ex Assump'!$D$25,0,'Industrial Gross Ex Assump'!$D$9*'Industrial Gross Ex Assump'!$D$23*((1+'Industrial Gross Ex Assump'!$D$24)^(YEAR(K7)-'Industrial Gross Ex Assump'!$D$26)-1)/12)</f>
        <v>0</v>
      </c>
      <c r="L16" s="41" t="n">
        <f aca="false">IF(L7&lt;'Industrial Gross Ex Assump'!$D$25,0,'Industrial Gross Ex Assump'!$D$9*'Industrial Gross Ex Assump'!$D$23*((1+'Industrial Gross Ex Assump'!$D$24)^(YEAR(L7)-'Industrial Gross Ex Assump'!$D$26)-1)/12)</f>
        <v>0</v>
      </c>
      <c r="M16" s="41" t="n">
        <f aca="false">IF(M7&lt;'Industrial Gross Ex Assump'!$D$25,0,'Industrial Gross Ex Assump'!$D$9*'Industrial Gross Ex Assump'!$D$23*((1+'Industrial Gross Ex Assump'!$D$24)^(YEAR(M7)-'Industrial Gross Ex Assump'!$D$26)-1)/12)</f>
        <v>0</v>
      </c>
      <c r="N16" s="41" t="n">
        <f aca="false">IF(N7&lt;'Industrial Gross Ex Assump'!$D$25,0,'Industrial Gross Ex Assump'!$D$9*'Industrial Gross Ex Assump'!$D$23*((1+'Industrial Gross Ex Assump'!$D$24)^(YEAR(N7)-'Industrial Gross Ex Assump'!$D$26)-1)/12)</f>
        <v>0</v>
      </c>
      <c r="O16" s="41" t="n">
        <f aca="false">IF(O7&lt;'Industrial Gross Ex Assump'!$D$25,0,'Industrial Gross Ex Assump'!$D$9*'Industrial Gross Ex Assump'!$D$23*((1+'Industrial Gross Ex Assump'!$D$24)^(YEAR(O7)-'Industrial Gross Ex Assump'!$D$26)-1)/12)</f>
        <v>0</v>
      </c>
      <c r="P16" s="41" t="n">
        <f aca="false">IF(P7&lt;'Industrial Gross Ex Assump'!$D$25,0,'Industrial Gross Ex Assump'!$D$9*'Industrial Gross Ex Assump'!$D$23*((1+'Industrial Gross Ex Assump'!$D$24)^(YEAR(P7)-'Industrial Gross Ex Assump'!$D$26)-1)/12)</f>
        <v>2083.33333333334</v>
      </c>
      <c r="Q16" s="41" t="n">
        <f aca="false">IF(Q7&lt;'Industrial Gross Ex Assump'!$D$25,0,'Industrial Gross Ex Assump'!$D$9*'Industrial Gross Ex Assump'!$D$23*((1+'Industrial Gross Ex Assump'!$D$24)^(YEAR(Q7)-'Industrial Gross Ex Assump'!$D$26)-1)/12)</f>
        <v>2083.33333333334</v>
      </c>
      <c r="R16" s="41" t="n">
        <f aca="false">IF(R7&lt;'Industrial Gross Ex Assump'!$D$25,0,'Industrial Gross Ex Assump'!$D$9*'Industrial Gross Ex Assump'!$D$23*((1+'Industrial Gross Ex Assump'!$D$24)^(YEAR(R7)-'Industrial Gross Ex Assump'!$D$26)-1)/12)</f>
        <v>2083.33333333334</v>
      </c>
      <c r="S16" s="41" t="n">
        <f aca="false">IF(S7&lt;'Industrial Gross Ex Assump'!$D$25,0,'Industrial Gross Ex Assump'!$D$9*'Industrial Gross Ex Assump'!$D$23*((1+'Industrial Gross Ex Assump'!$D$24)^(YEAR(S7)-'Industrial Gross Ex Assump'!$D$26)-1)/12)</f>
        <v>2083.33333333334</v>
      </c>
      <c r="T16" s="41" t="n">
        <f aca="false">IF(T7&lt;'Industrial Gross Ex Assump'!$D$25,0,'Industrial Gross Ex Assump'!$D$9*'Industrial Gross Ex Assump'!$D$23*((1+'Industrial Gross Ex Assump'!$D$24)^(YEAR(T7)-'Industrial Gross Ex Assump'!$D$26)-1)/12)</f>
        <v>2083.33333333334</v>
      </c>
      <c r="U16" s="41" t="n">
        <f aca="false">IF(U7&lt;'Industrial Gross Ex Assump'!$D$25,0,'Industrial Gross Ex Assump'!$D$9*'Industrial Gross Ex Assump'!$D$23*((1+'Industrial Gross Ex Assump'!$D$24)^(YEAR(U7)-'Industrial Gross Ex Assump'!$D$26)-1)/12)</f>
        <v>2083.33333333334</v>
      </c>
      <c r="V16" s="41" t="n">
        <f aca="false">IF(V7&lt;'Industrial Gross Ex Assump'!$D$25,0,'Industrial Gross Ex Assump'!$D$9*'Industrial Gross Ex Assump'!$D$23*((1+'Industrial Gross Ex Assump'!$D$24)^(YEAR(V7)-'Industrial Gross Ex Assump'!$D$26)-1)/12)</f>
        <v>2083.33333333334</v>
      </c>
      <c r="W16" s="41" t="n">
        <f aca="false">IF(W7&lt;'Industrial Gross Ex Assump'!$D$25,0,'Industrial Gross Ex Assump'!$D$9*'Industrial Gross Ex Assump'!$D$23*((1+'Industrial Gross Ex Assump'!$D$24)^(YEAR(W7)-'Industrial Gross Ex Assump'!$D$26)-1)/12)</f>
        <v>2083.33333333334</v>
      </c>
      <c r="X16" s="41" t="n">
        <f aca="false">IF(X7&lt;'Industrial Gross Ex Assump'!$D$25,0,'Industrial Gross Ex Assump'!$D$9*'Industrial Gross Ex Assump'!$D$23*((1+'Industrial Gross Ex Assump'!$D$24)^(YEAR(X7)-'Industrial Gross Ex Assump'!$D$26)-1)/12)</f>
        <v>2083.33333333334</v>
      </c>
      <c r="Y16" s="41" t="n">
        <f aca="false">IF(Y7&lt;'Industrial Gross Ex Assump'!$D$25,0,'Industrial Gross Ex Assump'!$D$9*'Industrial Gross Ex Assump'!$D$23*((1+'Industrial Gross Ex Assump'!$D$24)^(YEAR(Y7)-'Industrial Gross Ex Assump'!$D$26)-1)/12)</f>
        <v>2083.33333333334</v>
      </c>
      <c r="Z16" s="41" t="n">
        <f aca="false">IF(Z7&lt;'Industrial Gross Ex Assump'!$D$25,0,'Industrial Gross Ex Assump'!$D$9*'Industrial Gross Ex Assump'!$D$23*((1+'Industrial Gross Ex Assump'!$D$24)^(YEAR(Z7)-'Industrial Gross Ex Assump'!$D$26)-1)/12)</f>
        <v>2083.33333333334</v>
      </c>
      <c r="AA16" s="41" t="n">
        <f aca="false">IF(AA7&lt;'Industrial Gross Ex Assump'!$D$25,0,'Industrial Gross Ex Assump'!$D$9*'Industrial Gross Ex Assump'!$D$23*((1+'Industrial Gross Ex Assump'!$D$24)^(YEAR(AA7)-'Industrial Gross Ex Assump'!$D$26)-1)/12)</f>
        <v>2083.33333333334</v>
      </c>
      <c r="AB16" s="41" t="n">
        <f aca="false">IF(AB7&lt;'Industrial Gross Ex Assump'!$D$25,0,'Industrial Gross Ex Assump'!$D$9*'Industrial Gross Ex Assump'!$D$23*((1+'Industrial Gross Ex Assump'!$D$24)^(YEAR(AB7)-'Industrial Gross Ex Assump'!$D$26)-1)/12)</f>
        <v>4250.00000000001</v>
      </c>
      <c r="AC16" s="41" t="n">
        <f aca="false">IF(AC7&lt;'Industrial Gross Ex Assump'!$D$25,0,'Industrial Gross Ex Assump'!$D$9*'Industrial Gross Ex Assump'!$D$23*((1+'Industrial Gross Ex Assump'!$D$24)^(YEAR(AC7)-'Industrial Gross Ex Assump'!$D$26)-1)/12)</f>
        <v>4250.00000000001</v>
      </c>
      <c r="AD16" s="41" t="n">
        <f aca="false">IF(AD7&lt;'Industrial Gross Ex Assump'!$D$25,0,'Industrial Gross Ex Assump'!$D$9*'Industrial Gross Ex Assump'!$D$23*((1+'Industrial Gross Ex Assump'!$D$24)^(YEAR(AD7)-'Industrial Gross Ex Assump'!$D$26)-1)/12)</f>
        <v>4250.00000000001</v>
      </c>
      <c r="AE16" s="41" t="n">
        <f aca="false">IF(AE7&lt;'Industrial Gross Ex Assump'!$D$25,0,'Industrial Gross Ex Assump'!$D$9*'Industrial Gross Ex Assump'!$D$23*((1+'Industrial Gross Ex Assump'!$D$24)^(YEAR(AE7)-'Industrial Gross Ex Assump'!$D$26)-1)/12)</f>
        <v>4250.00000000001</v>
      </c>
      <c r="AF16" s="41" t="n">
        <f aca="false">IF(AF7&lt;'Industrial Gross Ex Assump'!$D$25,0,'Industrial Gross Ex Assump'!$D$9*'Industrial Gross Ex Assump'!$D$23*((1+'Industrial Gross Ex Assump'!$D$24)^(YEAR(AF7)-'Industrial Gross Ex Assump'!$D$26)-1)/12)</f>
        <v>4250.00000000001</v>
      </c>
      <c r="AG16" s="41" t="n">
        <f aca="false">IF(AG7&lt;'Industrial Gross Ex Assump'!$D$25,0,'Industrial Gross Ex Assump'!$D$9*'Industrial Gross Ex Assump'!$D$23*((1+'Industrial Gross Ex Assump'!$D$24)^(YEAR(AG7)-'Industrial Gross Ex Assump'!$D$26)-1)/12)</f>
        <v>4250.00000000001</v>
      </c>
      <c r="AH16" s="41" t="n">
        <f aca="false">IF(AH7&lt;'Industrial Gross Ex Assump'!$D$25,0,'Industrial Gross Ex Assump'!$D$9*'Industrial Gross Ex Assump'!$D$23*((1+'Industrial Gross Ex Assump'!$D$24)^(YEAR(AH7)-'Industrial Gross Ex Assump'!$D$26)-1)/12)</f>
        <v>4250.00000000001</v>
      </c>
      <c r="AI16" s="41" t="n">
        <f aca="false">IF(AI7&lt;'Industrial Gross Ex Assump'!$D$25,0,'Industrial Gross Ex Assump'!$D$9*'Industrial Gross Ex Assump'!$D$23*((1+'Industrial Gross Ex Assump'!$D$24)^(YEAR(AI7)-'Industrial Gross Ex Assump'!$D$26)-1)/12)</f>
        <v>4250.00000000001</v>
      </c>
      <c r="AJ16" s="41" t="n">
        <f aca="false">IF(AJ7&lt;'Industrial Gross Ex Assump'!$D$25,0,'Industrial Gross Ex Assump'!$D$9*'Industrial Gross Ex Assump'!$D$23*((1+'Industrial Gross Ex Assump'!$D$24)^(YEAR(AJ7)-'Industrial Gross Ex Assump'!$D$26)-1)/12)</f>
        <v>4250.00000000001</v>
      </c>
      <c r="AK16" s="41" t="n">
        <f aca="false">IF(AK7&lt;'Industrial Gross Ex Assump'!$D$25,0,'Industrial Gross Ex Assump'!$D$9*'Industrial Gross Ex Assump'!$D$23*((1+'Industrial Gross Ex Assump'!$D$24)^(YEAR(AK7)-'Industrial Gross Ex Assump'!$D$26)-1)/12)</f>
        <v>4250.00000000001</v>
      </c>
      <c r="AL16" s="41" t="n">
        <f aca="false">IF(AL7&lt;'Industrial Gross Ex Assump'!$D$25,0,'Industrial Gross Ex Assump'!$D$9*'Industrial Gross Ex Assump'!$D$23*((1+'Industrial Gross Ex Assump'!$D$24)^(YEAR(AL7)-'Industrial Gross Ex Assump'!$D$26)-1)/12)</f>
        <v>4250.00000000001</v>
      </c>
      <c r="AM16" s="41" t="n">
        <f aca="false">IF(AM7&lt;'Industrial Gross Ex Assump'!$D$25,0,'Industrial Gross Ex Assump'!$D$9*'Industrial Gross Ex Assump'!$D$23*((1+'Industrial Gross Ex Assump'!$D$24)^(YEAR(AM7)-'Industrial Gross Ex Assump'!$D$26)-1)/12)</f>
        <v>4250.00000000001</v>
      </c>
      <c r="AN16" s="41" t="n">
        <f aca="false">IF(AN7&lt;'Industrial Gross Ex Assump'!$D$25,0,'Industrial Gross Ex Assump'!$D$9*'Industrial Gross Ex Assump'!$D$23*((1+'Industrial Gross Ex Assump'!$D$24)^(YEAR(AN7)-'Industrial Gross Ex Assump'!$D$26)-1)/12)</f>
        <v>6503.33333333334</v>
      </c>
      <c r="AO16" s="41" t="n">
        <f aca="false">IF(AO7&lt;'Industrial Gross Ex Assump'!$D$25,0,'Industrial Gross Ex Assump'!$D$9*'Industrial Gross Ex Assump'!$D$23*((1+'Industrial Gross Ex Assump'!$D$24)^(YEAR(AO7)-'Industrial Gross Ex Assump'!$D$26)-1)/12)</f>
        <v>6503.33333333334</v>
      </c>
      <c r="AP16" s="41" t="n">
        <f aca="false">IF(AP7&lt;'Industrial Gross Ex Assump'!$D$25,0,'Industrial Gross Ex Assump'!$D$9*'Industrial Gross Ex Assump'!$D$23*((1+'Industrial Gross Ex Assump'!$D$24)^(YEAR(AP7)-'Industrial Gross Ex Assump'!$D$26)-1)/12)</f>
        <v>6503.33333333334</v>
      </c>
      <c r="AQ16" s="42" t="n">
        <f aca="false">SUM(D16:AP16)</f>
        <v>95510.0000000001</v>
      </c>
    </row>
    <row r="17" customFormat="false" ht="15" hidden="false" customHeight="false" outlineLevel="0" collapsed="false">
      <c r="B17" s="8" t="s">
        <v>101</v>
      </c>
      <c r="C17" s="15"/>
      <c r="D17" s="41" t="n">
        <f aca="false">'Industrial Gross Ex Assump'!$D$9*'Industrial Gross Ex Assump'!$D$27*(1+'Industrial Gross Ex Assump'!$D$28)^0/12</f>
        <v>10416.6666666667</v>
      </c>
      <c r="E17" s="41" t="n">
        <f aca="false">'Industrial Gross Ex Assump'!$D$9*'Industrial Gross Ex Assump'!$D$27*(1+'Industrial Gross Ex Assump'!$D$28)^0/12</f>
        <v>10416.6666666667</v>
      </c>
      <c r="F17" s="41" t="n">
        <f aca="false">'Industrial Gross Ex Assump'!$D$9*'Industrial Gross Ex Assump'!$D$27*(1+'Industrial Gross Ex Assump'!$D$28)^0/12</f>
        <v>10416.6666666667</v>
      </c>
      <c r="G17" s="41" t="n">
        <f aca="false">'Industrial Gross Ex Assump'!$D$9*'Industrial Gross Ex Assump'!$D$27*(1+'Industrial Gross Ex Assump'!$D$28)^0/12</f>
        <v>10416.6666666667</v>
      </c>
      <c r="H17" s="41" t="n">
        <f aca="false">'Industrial Gross Ex Assump'!$D$9*'Industrial Gross Ex Assump'!$D$27*(1+'Industrial Gross Ex Assump'!$D$28)^0/12</f>
        <v>10416.6666666667</v>
      </c>
      <c r="I17" s="41" t="n">
        <f aca="false">'Industrial Gross Ex Assump'!$D$9*'Industrial Gross Ex Assump'!$D$27*(1+'Industrial Gross Ex Assump'!$D$28)^0/12</f>
        <v>10416.6666666667</v>
      </c>
      <c r="J17" s="41" t="n">
        <f aca="false">'Industrial Gross Ex Assump'!$D$9*'Industrial Gross Ex Assump'!$D$27*(1+'Industrial Gross Ex Assump'!$D$28)^0/12</f>
        <v>10416.6666666667</v>
      </c>
      <c r="K17" s="41" t="n">
        <f aca="false">'Industrial Gross Ex Assump'!$D$9*'Industrial Gross Ex Assump'!$D$27*(1+'Industrial Gross Ex Assump'!$D$28)^0/12</f>
        <v>10416.6666666667</v>
      </c>
      <c r="L17" s="41" t="n">
        <f aca="false">'Industrial Gross Ex Assump'!$D$9*'Industrial Gross Ex Assump'!$D$27*(1+'Industrial Gross Ex Assump'!$D$28)^0/12</f>
        <v>10416.6666666667</v>
      </c>
      <c r="M17" s="41" t="n">
        <f aca="false">'Industrial Gross Ex Assump'!$D$9*'Industrial Gross Ex Assump'!$D$27*(1+'Industrial Gross Ex Assump'!$D$28)^0/12</f>
        <v>10416.6666666667</v>
      </c>
      <c r="N17" s="41" t="n">
        <f aca="false">'Industrial Gross Ex Assump'!$D$9*'Industrial Gross Ex Assump'!$D$27*(1+'Industrial Gross Ex Assump'!$D$28)^0/12</f>
        <v>10416.6666666667</v>
      </c>
      <c r="O17" s="41" t="n">
        <f aca="false">'Industrial Gross Ex Assump'!$D$9*'Industrial Gross Ex Assump'!$D$27*(1+'Industrial Gross Ex Assump'!$D$28)^0/12</f>
        <v>10416.6666666667</v>
      </c>
      <c r="P17" s="41" t="n">
        <f aca="false">'Industrial Gross Ex Assump'!$D$9*'Industrial Gross Ex Assump'!$D$27*(1+'Industrial Gross Ex Assump'!$D$28)^1/12</f>
        <v>10729.1666666667</v>
      </c>
      <c r="Q17" s="41" t="n">
        <f aca="false">'Industrial Gross Ex Assump'!$D$9*'Industrial Gross Ex Assump'!$D$27*(1+'Industrial Gross Ex Assump'!$D$28)^1/12</f>
        <v>10729.1666666667</v>
      </c>
      <c r="R17" s="41" t="n">
        <f aca="false">'Industrial Gross Ex Assump'!$D$9*'Industrial Gross Ex Assump'!$D$27*(1+'Industrial Gross Ex Assump'!$D$28)^1/12</f>
        <v>10729.1666666667</v>
      </c>
      <c r="S17" s="41" t="n">
        <f aca="false">'Industrial Gross Ex Assump'!$D$9*'Industrial Gross Ex Assump'!$D$27*(1+'Industrial Gross Ex Assump'!$D$28)^1/12</f>
        <v>10729.1666666667</v>
      </c>
      <c r="T17" s="41" t="n">
        <f aca="false">'Industrial Gross Ex Assump'!$D$9*'Industrial Gross Ex Assump'!$D$27*(1+'Industrial Gross Ex Assump'!$D$28)^1/12</f>
        <v>10729.1666666667</v>
      </c>
      <c r="U17" s="41" t="n">
        <f aca="false">'Industrial Gross Ex Assump'!$D$9*'Industrial Gross Ex Assump'!$D$27*(1+'Industrial Gross Ex Assump'!$D$28)^1/12</f>
        <v>10729.1666666667</v>
      </c>
      <c r="V17" s="41" t="n">
        <f aca="false">'Industrial Gross Ex Assump'!$D$9*'Industrial Gross Ex Assump'!$D$27*(1+'Industrial Gross Ex Assump'!$D$28)^1/12</f>
        <v>10729.1666666667</v>
      </c>
      <c r="W17" s="41" t="n">
        <f aca="false">'Industrial Gross Ex Assump'!$D$9*'Industrial Gross Ex Assump'!$D$27*(1+'Industrial Gross Ex Assump'!$D$28)^1/12</f>
        <v>10729.1666666667</v>
      </c>
      <c r="X17" s="41" t="n">
        <f aca="false">'Industrial Gross Ex Assump'!$D$9*'Industrial Gross Ex Assump'!$D$27*(1+'Industrial Gross Ex Assump'!$D$28)^1/12</f>
        <v>10729.1666666667</v>
      </c>
      <c r="Y17" s="41" t="n">
        <f aca="false">'Industrial Gross Ex Assump'!$D$9*'Industrial Gross Ex Assump'!$D$27*(1+'Industrial Gross Ex Assump'!$D$28)^1/12</f>
        <v>10729.1666666667</v>
      </c>
      <c r="Z17" s="41" t="n">
        <f aca="false">'Industrial Gross Ex Assump'!$D$9*'Industrial Gross Ex Assump'!$D$27*(1+'Industrial Gross Ex Assump'!$D$28)^1/12</f>
        <v>10729.1666666667</v>
      </c>
      <c r="AA17" s="41" t="n">
        <f aca="false">'Industrial Gross Ex Assump'!$D$9*'Industrial Gross Ex Assump'!$D$27*(1+'Industrial Gross Ex Assump'!$D$28)^1/12</f>
        <v>10729.1666666667</v>
      </c>
      <c r="AB17" s="41" t="n">
        <f aca="false">'Industrial Gross Ex Assump'!$D$9*'Industrial Gross Ex Assump'!$D$27*(1+'Industrial Gross Ex Assump'!$D$28)^2/12</f>
        <v>11051.0416666667</v>
      </c>
      <c r="AC17" s="41" t="n">
        <f aca="false">'Industrial Gross Ex Assump'!$D$9*'Industrial Gross Ex Assump'!$D$27*(1+'Industrial Gross Ex Assump'!$D$28)^2/12</f>
        <v>11051.0416666667</v>
      </c>
      <c r="AD17" s="41" t="n">
        <f aca="false">'Industrial Gross Ex Assump'!$D$9*'Industrial Gross Ex Assump'!$D$27*(1+'Industrial Gross Ex Assump'!$D$28)^2/12</f>
        <v>11051.0416666667</v>
      </c>
      <c r="AE17" s="41" t="n">
        <f aca="false">'Industrial Gross Ex Assump'!$D$9*'Industrial Gross Ex Assump'!$D$27*(1+'Industrial Gross Ex Assump'!$D$28)^2/12</f>
        <v>11051.0416666667</v>
      </c>
      <c r="AF17" s="41" t="n">
        <f aca="false">'Industrial Gross Ex Assump'!$D$9*'Industrial Gross Ex Assump'!$D$27*(1+'Industrial Gross Ex Assump'!$D$28)^2/12</f>
        <v>11051.0416666667</v>
      </c>
      <c r="AG17" s="41" t="n">
        <f aca="false">'Industrial Gross Ex Assump'!$D$9*'Industrial Gross Ex Assump'!$D$27*(1+'Industrial Gross Ex Assump'!$D$28)^2/12</f>
        <v>11051.0416666667</v>
      </c>
      <c r="AH17" s="41" t="n">
        <f aca="false">'Industrial Gross Ex Assump'!$D$9*'Industrial Gross Ex Assump'!$D$27*(1+'Industrial Gross Ex Assump'!$D$28)^2/12</f>
        <v>11051.0416666667</v>
      </c>
      <c r="AI17" s="41" t="n">
        <f aca="false">'Industrial Gross Ex Assump'!$D$9*'Industrial Gross Ex Assump'!$D$27*(1+'Industrial Gross Ex Assump'!$D$28)^2/12</f>
        <v>11051.0416666667</v>
      </c>
      <c r="AJ17" s="41" t="n">
        <f aca="false">'Industrial Gross Ex Assump'!$D$9*'Industrial Gross Ex Assump'!$D$27*(1+'Industrial Gross Ex Assump'!$D$28)^2/12</f>
        <v>11051.0416666667</v>
      </c>
      <c r="AK17" s="41" t="n">
        <f aca="false">'Industrial Gross Ex Assump'!$D$9*'Industrial Gross Ex Assump'!$D$27*(1+'Industrial Gross Ex Assump'!$D$28)^2/12</f>
        <v>11051.0416666667</v>
      </c>
      <c r="AL17" s="41" t="n">
        <f aca="false">'Industrial Gross Ex Assump'!$D$9*'Industrial Gross Ex Assump'!$D$27*(1+'Industrial Gross Ex Assump'!$D$28)^2/12</f>
        <v>11051.0416666667</v>
      </c>
      <c r="AM17" s="41" t="n">
        <f aca="false">'Industrial Gross Ex Assump'!$D$9*'Industrial Gross Ex Assump'!$D$27*(1+'Industrial Gross Ex Assump'!$D$28)^2/12</f>
        <v>11051.0416666667</v>
      </c>
      <c r="AN17" s="41" t="n">
        <f aca="false">'Industrial Gross Ex Assump'!$D$9*'Industrial Gross Ex Assump'!$D$27*(1+'Industrial Gross Ex Assump'!$D$28)^3/12</f>
        <v>11382.5729166667</v>
      </c>
      <c r="AO17" s="41" t="n">
        <f aca="false">'Industrial Gross Ex Assump'!$D$9*'Industrial Gross Ex Assump'!$D$27*(1+'Industrial Gross Ex Assump'!$D$28)^3/12</f>
        <v>11382.5729166667</v>
      </c>
      <c r="AP17" s="41" t="n">
        <f aca="false">'Industrial Gross Ex Assump'!$D$9*'Industrial Gross Ex Assump'!$D$27*(1+'Industrial Gross Ex Assump'!$D$28)^3/12</f>
        <v>11382.5729166667</v>
      </c>
      <c r="AQ17" s="42" t="n">
        <f aca="false">SUM(D17:AP17)</f>
        <v>420510.21875</v>
      </c>
    </row>
    <row r="18" customFormat="false" ht="15" hidden="false" customHeight="false" outlineLevel="0" collapsed="false">
      <c r="B18" s="8" t="s">
        <v>88</v>
      </c>
      <c r="C18" s="15"/>
      <c r="D18" s="41" t="n">
        <f aca="false">'Industrial Gross Ex Assump'!$D$33</f>
        <v>0</v>
      </c>
      <c r="E18" s="41" t="n">
        <f aca="false">0</f>
        <v>0</v>
      </c>
      <c r="F18" s="41" t="n">
        <f aca="false">0</f>
        <v>0</v>
      </c>
      <c r="G18" s="41" t="n">
        <f aca="false">0</f>
        <v>0</v>
      </c>
      <c r="H18" s="41" t="n">
        <f aca="false">0</f>
        <v>0</v>
      </c>
      <c r="I18" s="41" t="n">
        <f aca="false">0</f>
        <v>0</v>
      </c>
      <c r="J18" s="41" t="n">
        <f aca="false">0</f>
        <v>0</v>
      </c>
      <c r="K18" s="41" t="n">
        <f aca="false">0</f>
        <v>0</v>
      </c>
      <c r="L18" s="41" t="n">
        <f aca="false">0</f>
        <v>0</v>
      </c>
      <c r="M18" s="41" t="n">
        <f aca="false">0</f>
        <v>0</v>
      </c>
      <c r="N18" s="41" t="n">
        <f aca="false">0</f>
        <v>0</v>
      </c>
      <c r="O18" s="41" t="n">
        <f aca="false">0</f>
        <v>0</v>
      </c>
      <c r="P18" s="41" t="n">
        <f aca="false">0</f>
        <v>0</v>
      </c>
      <c r="Q18" s="41" t="n">
        <f aca="false">0</f>
        <v>0</v>
      </c>
      <c r="R18" s="41" t="n">
        <f aca="false">0</f>
        <v>0</v>
      </c>
      <c r="S18" s="41" t="n">
        <f aca="false">0</f>
        <v>0</v>
      </c>
      <c r="T18" s="41" t="n">
        <f aca="false">0</f>
        <v>0</v>
      </c>
      <c r="U18" s="41" t="n">
        <f aca="false">0</f>
        <v>0</v>
      </c>
      <c r="V18" s="41" t="n">
        <f aca="false">0</f>
        <v>0</v>
      </c>
      <c r="W18" s="41" t="n">
        <f aca="false">0</f>
        <v>0</v>
      </c>
      <c r="X18" s="41" t="n">
        <f aca="false">0</f>
        <v>0</v>
      </c>
      <c r="Y18" s="41" t="n">
        <f aca="false">0</f>
        <v>0</v>
      </c>
      <c r="Z18" s="41" t="n">
        <f aca="false">0</f>
        <v>0</v>
      </c>
      <c r="AA18" s="41" t="n">
        <f aca="false">0</f>
        <v>0</v>
      </c>
      <c r="AB18" s="41" t="n">
        <f aca="false">0</f>
        <v>0</v>
      </c>
      <c r="AC18" s="41" t="n">
        <f aca="false">0</f>
        <v>0</v>
      </c>
      <c r="AD18" s="41" t="n">
        <f aca="false">0</f>
        <v>0</v>
      </c>
      <c r="AE18" s="41" t="n">
        <f aca="false">0</f>
        <v>0</v>
      </c>
      <c r="AF18" s="41" t="n">
        <f aca="false">0</f>
        <v>0</v>
      </c>
      <c r="AG18" s="41" t="n">
        <f aca="false">0</f>
        <v>0</v>
      </c>
      <c r="AH18" s="41" t="n">
        <f aca="false">0</f>
        <v>0</v>
      </c>
      <c r="AI18" s="41" t="n">
        <f aca="false">0</f>
        <v>0</v>
      </c>
      <c r="AJ18" s="41" t="n">
        <f aca="false">0</f>
        <v>0</v>
      </c>
      <c r="AK18" s="41" t="n">
        <f aca="false">0</f>
        <v>0</v>
      </c>
      <c r="AL18" s="41" t="n">
        <f aca="false">0</f>
        <v>0</v>
      </c>
      <c r="AM18" s="41" t="n">
        <f aca="false">0</f>
        <v>0</v>
      </c>
      <c r="AN18" s="41" t="n">
        <f aca="false">0</f>
        <v>0</v>
      </c>
      <c r="AO18" s="41" t="n">
        <f aca="false">0</f>
        <v>0</v>
      </c>
      <c r="AP18" s="41" t="n">
        <f aca="false">0</f>
        <v>0</v>
      </c>
      <c r="AQ18" s="42" t="n">
        <f aca="false">SUM(D18:AP18)</f>
        <v>0</v>
      </c>
    </row>
    <row r="19" customFormat="false" ht="15" hidden="false" customHeight="false" outlineLevel="0" collapsed="false">
      <c r="B19" s="8" t="s">
        <v>74</v>
      </c>
      <c r="C19" s="15"/>
      <c r="D19" s="41" t="n">
        <f aca="false">'Industrial Gross Ex Assump'!$D$34</f>
        <v>0</v>
      </c>
      <c r="E19" s="41" t="n">
        <f aca="false">0</f>
        <v>0</v>
      </c>
      <c r="F19" s="41" t="n">
        <f aca="false">0</f>
        <v>0</v>
      </c>
      <c r="G19" s="41" t="n">
        <f aca="false">0</f>
        <v>0</v>
      </c>
      <c r="H19" s="41" t="n">
        <f aca="false">0</f>
        <v>0</v>
      </c>
      <c r="I19" s="41" t="n">
        <f aca="false">0</f>
        <v>0</v>
      </c>
      <c r="J19" s="41" t="n">
        <f aca="false">0</f>
        <v>0</v>
      </c>
      <c r="K19" s="41" t="n">
        <f aca="false">0</f>
        <v>0</v>
      </c>
      <c r="L19" s="41" t="n">
        <f aca="false">0</f>
        <v>0</v>
      </c>
      <c r="M19" s="41" t="n">
        <f aca="false">0</f>
        <v>0</v>
      </c>
      <c r="N19" s="41" t="n">
        <f aca="false">0</f>
        <v>0</v>
      </c>
      <c r="O19" s="41" t="n">
        <f aca="false">0</f>
        <v>0</v>
      </c>
      <c r="P19" s="41" t="n">
        <f aca="false">0</f>
        <v>0</v>
      </c>
      <c r="Q19" s="41" t="n">
        <f aca="false">0</f>
        <v>0</v>
      </c>
      <c r="R19" s="41" t="n">
        <f aca="false">0</f>
        <v>0</v>
      </c>
      <c r="S19" s="41" t="n">
        <f aca="false">0</f>
        <v>0</v>
      </c>
      <c r="T19" s="41" t="n">
        <f aca="false">0</f>
        <v>0</v>
      </c>
      <c r="U19" s="41" t="n">
        <f aca="false">0</f>
        <v>0</v>
      </c>
      <c r="V19" s="41" t="n">
        <f aca="false">0</f>
        <v>0</v>
      </c>
      <c r="W19" s="41" t="n">
        <f aca="false">0</f>
        <v>0</v>
      </c>
      <c r="X19" s="41" t="n">
        <f aca="false">0</f>
        <v>0</v>
      </c>
      <c r="Y19" s="41" t="n">
        <f aca="false">0</f>
        <v>0</v>
      </c>
      <c r="Z19" s="41" t="n">
        <f aca="false">0</f>
        <v>0</v>
      </c>
      <c r="AA19" s="41" t="n">
        <f aca="false">0</f>
        <v>0</v>
      </c>
      <c r="AB19" s="41" t="n">
        <f aca="false">0</f>
        <v>0</v>
      </c>
      <c r="AC19" s="41" t="n">
        <f aca="false">0</f>
        <v>0</v>
      </c>
      <c r="AD19" s="41" t="n">
        <f aca="false">0</f>
        <v>0</v>
      </c>
      <c r="AE19" s="41" t="n">
        <f aca="false">0</f>
        <v>0</v>
      </c>
      <c r="AF19" s="41" t="n">
        <f aca="false">0</f>
        <v>0</v>
      </c>
      <c r="AG19" s="41" t="n">
        <f aca="false">0</f>
        <v>0</v>
      </c>
      <c r="AH19" s="41" t="n">
        <f aca="false">0</f>
        <v>0</v>
      </c>
      <c r="AI19" s="41" t="n">
        <f aca="false">0</f>
        <v>0</v>
      </c>
      <c r="AJ19" s="41" t="n">
        <f aca="false">0</f>
        <v>0</v>
      </c>
      <c r="AK19" s="41" t="n">
        <f aca="false">0</f>
        <v>0</v>
      </c>
      <c r="AL19" s="41" t="n">
        <f aca="false">0</f>
        <v>0</v>
      </c>
      <c r="AM19" s="41" t="n">
        <f aca="false">0</f>
        <v>0</v>
      </c>
      <c r="AN19" s="41" t="n">
        <f aca="false">0</f>
        <v>0</v>
      </c>
      <c r="AO19" s="41" t="n">
        <f aca="false">0</f>
        <v>0</v>
      </c>
      <c r="AP19" s="41" t="n">
        <f aca="false">0</f>
        <v>0</v>
      </c>
      <c r="AQ19" s="42" t="n">
        <f aca="false">SUM(D19:AP19)</f>
        <v>0</v>
      </c>
    </row>
    <row r="21" customFormat="false" ht="15" hidden="false" customHeight="false" outlineLevel="0" collapsed="false">
      <c r="B21" s="17" t="s">
        <v>43</v>
      </c>
      <c r="C21" s="23"/>
      <c r="D21" s="46" t="n">
        <f aca="false">D14+D16+D17+D18+D19</f>
        <v>10416.6666666667</v>
      </c>
      <c r="E21" s="46" t="n">
        <f aca="false">E14+E16+E17+E18+E19</f>
        <v>10416.6666666667</v>
      </c>
      <c r="F21" s="46" t="n">
        <f aca="false">F14+F16+F17+F18+F19</f>
        <v>49229.1666666667</v>
      </c>
      <c r="G21" s="46" t="n">
        <f aca="false">G14+G16+G17+G18+G19</f>
        <v>49229.1666666667</v>
      </c>
      <c r="H21" s="46" t="n">
        <f aca="false">H14+H16+H17+H18+H19</f>
        <v>49229.1666666667</v>
      </c>
      <c r="I21" s="46" t="n">
        <f aca="false">I14+I16+I17+I18+I19</f>
        <v>49229.1666666667</v>
      </c>
      <c r="J21" s="46" t="n">
        <f aca="false">J14+J16+J17+J18+J19</f>
        <v>49229.1666666667</v>
      </c>
      <c r="K21" s="46" t="n">
        <f aca="false">K14+K16+K17+K18+K19</f>
        <v>49229.1666666667</v>
      </c>
      <c r="L21" s="46" t="n">
        <f aca="false">L14+L16+L17+L18+L19</f>
        <v>49229.1666666667</v>
      </c>
      <c r="M21" s="46" t="n">
        <f aca="false">M14+M16+M17+M18+M19</f>
        <v>49229.1666666667</v>
      </c>
      <c r="N21" s="46" t="n">
        <f aca="false">N14+N16+N17+N18+N19</f>
        <v>49229.1666666667</v>
      </c>
      <c r="O21" s="46" t="n">
        <f aca="false">O14+O16+O17+O18+O19</f>
        <v>49229.1666666667</v>
      </c>
      <c r="P21" s="46" t="n">
        <f aca="false">P14+P16+P17+P18+P19</f>
        <v>52983.4375</v>
      </c>
      <c r="Q21" s="46" t="n">
        <f aca="false">Q14+Q16+Q17+Q18+Q19</f>
        <v>52983.4375</v>
      </c>
      <c r="R21" s="46" t="n">
        <f aca="false">R14+R16+R17+R18+R19</f>
        <v>52983.4375</v>
      </c>
      <c r="S21" s="46" t="n">
        <f aca="false">S14+S16+S17+S18+S19</f>
        <v>52983.4375</v>
      </c>
      <c r="T21" s="46" t="n">
        <f aca="false">T14+T16+T17+T18+T19</f>
        <v>52983.4375</v>
      </c>
      <c r="U21" s="46" t="n">
        <f aca="false">U14+U16+U17+U18+U19</f>
        <v>52983.4375</v>
      </c>
      <c r="V21" s="46" t="n">
        <f aca="false">V14+V16+V17+V18+V19</f>
        <v>52983.4375</v>
      </c>
      <c r="W21" s="46" t="n">
        <f aca="false">W14+W16+W17+W18+W19</f>
        <v>52983.4375</v>
      </c>
      <c r="X21" s="46" t="n">
        <f aca="false">X14+X16+X17+X18+X19</f>
        <v>52983.4375</v>
      </c>
      <c r="Y21" s="46" t="n">
        <f aca="false">Y14+Y16+Y17+Y18+Y19</f>
        <v>52983.4375</v>
      </c>
      <c r="Z21" s="46" t="n">
        <f aca="false">Z14+Z16+Z17+Z18+Z19</f>
        <v>52983.4375</v>
      </c>
      <c r="AA21" s="46" t="n">
        <f aca="false">AA14+AA16+AA17+AA18+AA19</f>
        <v>52983.4375</v>
      </c>
      <c r="AB21" s="46" t="n">
        <f aca="false">AB14+AB16+AB17+AB18+AB19</f>
        <v>56877.9619791667</v>
      </c>
      <c r="AC21" s="46" t="n">
        <f aca="false">AC14+AC16+AC17+AC18+AC19</f>
        <v>56877.9619791667</v>
      </c>
      <c r="AD21" s="46" t="n">
        <f aca="false">AD14+AD16+AD17+AD18+AD19</f>
        <v>56877.9619791667</v>
      </c>
      <c r="AE21" s="46" t="n">
        <f aca="false">AE14+AE16+AE17+AE18+AE19</f>
        <v>56877.9619791667</v>
      </c>
      <c r="AF21" s="46" t="n">
        <f aca="false">AF14+AF16+AF17+AF18+AF19</f>
        <v>56877.9619791667</v>
      </c>
      <c r="AG21" s="46" t="n">
        <f aca="false">AG14+AG16+AG17+AG18+AG19</f>
        <v>56877.9619791667</v>
      </c>
      <c r="AH21" s="46" t="n">
        <f aca="false">AH14+AH16+AH17+AH18+AH19</f>
        <v>56877.9619791667</v>
      </c>
      <c r="AI21" s="46" t="n">
        <f aca="false">AI14+AI16+AI17+AI18+AI19</f>
        <v>56877.9619791667</v>
      </c>
      <c r="AJ21" s="46" t="n">
        <f aca="false">AJ14+AJ16+AJ17+AJ18+AJ19</f>
        <v>56877.9619791667</v>
      </c>
      <c r="AK21" s="46" t="n">
        <f aca="false">AK14+AK16+AK17+AK18+AK19</f>
        <v>56877.9619791667</v>
      </c>
      <c r="AL21" s="46" t="n">
        <f aca="false">AL14+AL16+AL17+AL18+AL19</f>
        <v>56877.9619791667</v>
      </c>
      <c r="AM21" s="46" t="n">
        <f aca="false">AM14+AM16+AM17+AM18+AM19</f>
        <v>56877.9619791667</v>
      </c>
      <c r="AN21" s="46" t="n">
        <f aca="false">AN14+AN16+AN17+AN18+AN19</f>
        <v>60918.0187734375</v>
      </c>
      <c r="AO21" s="46" t="n">
        <f aca="false">AO14+AO16+AO17+AO18+AO19</f>
        <v>60918.0187734375</v>
      </c>
      <c r="AP21" s="46" t="n">
        <f aca="false">AP14+AP16+AP17+AP18+AP19</f>
        <v>60918.0187734375</v>
      </c>
      <c r="AQ21" s="47" t="n">
        <f aca="false">SUM(D21:AP21)</f>
        <v>2014215.85007031</v>
      </c>
    </row>
    <row r="24" customFormat="false" ht="18" hidden="false" customHeight="true" outlineLevel="0" collapsed="false">
      <c r="B24" s="6" t="s">
        <v>89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</row>
    <row r="25" customFormat="false" ht="15" hidden="false" customHeight="false" outlineLevel="0" collapsed="false">
      <c r="B25" s="8" t="s">
        <v>30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48" t="n">
        <f aca="false">'Industrial Gross Ex Assump'!$D$9*'Industrial Gross Ex Assump'!$D$31</f>
        <v>375000</v>
      </c>
    </row>
  </sheetData>
  <mergeCells count="2">
    <mergeCell ref="B2:AQ2"/>
    <mergeCell ref="B3:AQ3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2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2026-07-29T16:03:22Z</dcterms:created>
  <dc:creator>openpyxl</dc:creator>
  <dc:description/>
  <dc:language>en-US</dc:language>
  <cp:lastModifiedBy/>
  <dcterms:modified xsi:type="dcterms:W3CDTF">2026-07-29T16:03:22Z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